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tionen\Permissible imprecision\"/>
    </mc:Choice>
  </mc:AlternateContent>
  <xr:revisionPtr revIDLastSave="0" documentId="13_ncr:1_{25F4010A-3B36-40EE-BD3B-593694591A70}" xr6:coauthVersionLast="45" xr6:coauthVersionMax="46" xr10:uidLastSave="{00000000-0000-0000-0000-000000000000}"/>
  <bookViews>
    <workbookView xWindow="-120" yWindow="-120" windowWidth="20730" windowHeight="11310" activeTab="1" xr2:uid="{00000000-000D-0000-FFFF-FFFF00000000}"/>
  </bookViews>
  <sheets>
    <sheet name="Erklärung" sheetId="1" r:id="rId1"/>
    <sheet name="Tabelle1" sheetId="3" r:id="rId2"/>
  </sheets>
  <calcPr calcId="181029"/>
</workbook>
</file>

<file path=xl/calcChain.xml><?xml version="1.0" encoding="utf-8"?>
<calcChain xmlns="http://schemas.openxmlformats.org/spreadsheetml/2006/main">
  <c r="AT101" i="3" l="1"/>
  <c r="AT102" i="3"/>
  <c r="AT103" i="3"/>
  <c r="AT105" i="3"/>
  <c r="AT106" i="3"/>
  <c r="AT107" i="3"/>
  <c r="AT108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6" i="3"/>
  <c r="AT127" i="3"/>
  <c r="AT128" i="3"/>
  <c r="AT129" i="3"/>
  <c r="AT130" i="3"/>
  <c r="AT131" i="3"/>
  <c r="AT10" i="3"/>
  <c r="AT11" i="3"/>
  <c r="AT12" i="3"/>
  <c r="AT13" i="3"/>
  <c r="AT14" i="3"/>
  <c r="AT15" i="3"/>
  <c r="AT16" i="3"/>
  <c r="AT17" i="3"/>
  <c r="AT18" i="3"/>
  <c r="AT19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2" i="3"/>
  <c r="AT43" i="3"/>
  <c r="AT44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3" i="3"/>
  <c r="AT65" i="3"/>
  <c r="AT66" i="3"/>
  <c r="AT68" i="3"/>
  <c r="AT69" i="3"/>
  <c r="AT70" i="3"/>
  <c r="AT72" i="3"/>
  <c r="AT73" i="3"/>
  <c r="AT74" i="3"/>
  <c r="AT75" i="3"/>
  <c r="AT76" i="3"/>
  <c r="AT78" i="3"/>
  <c r="AT80" i="3"/>
  <c r="AT81" i="3"/>
  <c r="AT82" i="3"/>
  <c r="AT83" i="3"/>
  <c r="AT84" i="3"/>
  <c r="AT85" i="3"/>
  <c r="AT86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S105" i="3"/>
  <c r="AS106" i="3"/>
  <c r="AS107" i="3"/>
  <c r="AS108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6" i="3"/>
  <c r="AS127" i="3"/>
  <c r="AS128" i="3"/>
  <c r="AS129" i="3"/>
  <c r="AS130" i="3"/>
  <c r="AS131" i="3"/>
  <c r="AS10" i="3"/>
  <c r="AS11" i="3"/>
  <c r="AS12" i="3"/>
  <c r="AS13" i="3"/>
  <c r="AS14" i="3"/>
  <c r="AS15" i="3"/>
  <c r="AS16" i="3"/>
  <c r="AS17" i="3"/>
  <c r="AS18" i="3"/>
  <c r="AS19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2" i="3"/>
  <c r="AS43" i="3"/>
  <c r="AS44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3" i="3"/>
  <c r="AS65" i="3"/>
  <c r="AS66" i="3"/>
  <c r="AS68" i="3"/>
  <c r="AS69" i="3"/>
  <c r="AS70" i="3"/>
  <c r="AS72" i="3"/>
  <c r="AS73" i="3"/>
  <c r="AS74" i="3"/>
  <c r="AS75" i="3"/>
  <c r="AS76" i="3"/>
  <c r="AS78" i="3"/>
  <c r="AS80" i="3"/>
  <c r="AS81" i="3"/>
  <c r="AS82" i="3"/>
  <c r="AS83" i="3"/>
  <c r="AS84" i="3"/>
  <c r="AS85" i="3"/>
  <c r="AS86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6" i="3"/>
  <c r="AR127" i="3"/>
  <c r="AR128" i="3"/>
  <c r="AR129" i="3"/>
  <c r="AR130" i="3"/>
  <c r="AR131" i="3"/>
  <c r="AR10" i="3"/>
  <c r="AR11" i="3"/>
  <c r="AR12" i="3"/>
  <c r="AR13" i="3"/>
  <c r="AR14" i="3"/>
  <c r="AR15" i="3"/>
  <c r="AR16" i="3"/>
  <c r="AR17" i="3"/>
  <c r="AR18" i="3"/>
  <c r="AR19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2" i="3"/>
  <c r="AR43" i="3"/>
  <c r="AR44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3" i="3"/>
  <c r="AR65" i="3"/>
  <c r="AR66" i="3"/>
  <c r="AR68" i="3"/>
  <c r="AR69" i="3"/>
  <c r="AR70" i="3"/>
  <c r="AR72" i="3"/>
  <c r="AR73" i="3"/>
  <c r="AR74" i="3"/>
  <c r="AR75" i="3"/>
  <c r="AR76" i="3"/>
  <c r="AR78" i="3"/>
  <c r="AR80" i="3"/>
  <c r="AR81" i="3"/>
  <c r="AR82" i="3"/>
  <c r="AR83" i="3"/>
  <c r="AR84" i="3"/>
  <c r="AR85" i="3"/>
  <c r="AR86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5" i="3"/>
  <c r="AR106" i="3"/>
  <c r="AR107" i="3"/>
  <c r="AR108" i="3"/>
  <c r="AQ111" i="3"/>
  <c r="AQ112" i="3"/>
  <c r="AP112" i="3" s="1"/>
  <c r="AQ113" i="3"/>
  <c r="AQ114" i="3"/>
  <c r="AP114" i="3" s="1"/>
  <c r="AQ115" i="3"/>
  <c r="AP115" i="3" s="1"/>
  <c r="AQ116" i="3"/>
  <c r="AP116" i="3" s="1"/>
  <c r="AQ117" i="3"/>
  <c r="AQ118" i="3"/>
  <c r="AQ119" i="3"/>
  <c r="AQ120" i="3"/>
  <c r="AP120" i="3" s="1"/>
  <c r="AQ121" i="3"/>
  <c r="AQ122" i="3"/>
  <c r="AP122" i="3" s="1"/>
  <c r="AQ126" i="3"/>
  <c r="AQ127" i="3"/>
  <c r="AQ128" i="3"/>
  <c r="AP128" i="3" s="1"/>
  <c r="AQ129" i="3"/>
  <c r="AQ130" i="3"/>
  <c r="AP130" i="3" s="1"/>
  <c r="AQ131" i="3"/>
  <c r="AP131" i="3" s="1"/>
  <c r="AQ10" i="3"/>
  <c r="AQ11" i="3"/>
  <c r="AQ12" i="3"/>
  <c r="AQ13" i="3"/>
  <c r="AQ14" i="3"/>
  <c r="AQ15" i="3"/>
  <c r="AP15" i="3" s="1"/>
  <c r="AQ16" i="3"/>
  <c r="AQ17" i="3"/>
  <c r="AQ18" i="3"/>
  <c r="AQ19" i="3"/>
  <c r="AQ21" i="3"/>
  <c r="AP21" i="3" s="1"/>
  <c r="AQ22" i="3"/>
  <c r="AQ23" i="3"/>
  <c r="AP23" i="3" s="1"/>
  <c r="AQ24" i="3"/>
  <c r="AQ25" i="3"/>
  <c r="AQ26" i="3"/>
  <c r="AQ27" i="3"/>
  <c r="AQ28" i="3"/>
  <c r="AQ29" i="3"/>
  <c r="AQ30" i="3"/>
  <c r="AQ31" i="3"/>
  <c r="AP31" i="3" s="1"/>
  <c r="AQ32" i="3"/>
  <c r="AQ33" i="3"/>
  <c r="AQ34" i="3"/>
  <c r="AQ35" i="3"/>
  <c r="AQ36" i="3"/>
  <c r="AQ37" i="3"/>
  <c r="AQ38" i="3"/>
  <c r="AQ39" i="3"/>
  <c r="AP39" i="3" s="1"/>
  <c r="AQ40" i="3"/>
  <c r="AQ42" i="3"/>
  <c r="AQ43" i="3"/>
  <c r="AQ44" i="3"/>
  <c r="AQ46" i="3"/>
  <c r="AQ47" i="3"/>
  <c r="AP47" i="3" s="1"/>
  <c r="AQ48" i="3"/>
  <c r="AQ49" i="3"/>
  <c r="AP49" i="3" s="1"/>
  <c r="AQ50" i="3"/>
  <c r="AQ51" i="3"/>
  <c r="AQ52" i="3"/>
  <c r="AQ53" i="3"/>
  <c r="AQ54" i="3"/>
  <c r="AQ55" i="3"/>
  <c r="AP55" i="3" s="1"/>
  <c r="AQ56" i="3"/>
  <c r="AQ57" i="3"/>
  <c r="AP57" i="3" s="1"/>
  <c r="AQ58" i="3"/>
  <c r="AQ59" i="3"/>
  <c r="AQ60" i="3"/>
  <c r="AQ61" i="3"/>
  <c r="AQ63" i="3"/>
  <c r="AP63" i="3" s="1"/>
  <c r="AQ65" i="3"/>
  <c r="AP65" i="3" s="1"/>
  <c r="AQ66" i="3"/>
  <c r="AQ68" i="3"/>
  <c r="AQ69" i="3"/>
  <c r="AP69" i="3" s="1"/>
  <c r="AQ70" i="3"/>
  <c r="AQ72" i="3"/>
  <c r="AQ73" i="3"/>
  <c r="AP73" i="3" s="1"/>
  <c r="AQ74" i="3"/>
  <c r="AQ75" i="3"/>
  <c r="AQ76" i="3"/>
  <c r="AQ78" i="3"/>
  <c r="AQ80" i="3"/>
  <c r="AQ81" i="3"/>
  <c r="AP81" i="3" s="1"/>
  <c r="AQ82" i="3"/>
  <c r="AQ83" i="3"/>
  <c r="AQ84" i="3"/>
  <c r="AQ85" i="3"/>
  <c r="AP85" i="3" s="1"/>
  <c r="AQ86" i="3"/>
  <c r="AQ88" i="3"/>
  <c r="AQ89" i="3"/>
  <c r="AP89" i="3" s="1"/>
  <c r="AQ90" i="3"/>
  <c r="AQ91" i="3"/>
  <c r="AQ92" i="3"/>
  <c r="AQ93" i="3"/>
  <c r="AP93" i="3" s="1"/>
  <c r="AQ94" i="3"/>
  <c r="AQ95" i="3"/>
  <c r="AP95" i="3" s="1"/>
  <c r="AQ96" i="3"/>
  <c r="AQ97" i="3"/>
  <c r="AP97" i="3" s="1"/>
  <c r="AQ98" i="3"/>
  <c r="AQ99" i="3"/>
  <c r="AQ100" i="3"/>
  <c r="AQ101" i="3"/>
  <c r="AP101" i="3" s="1"/>
  <c r="AQ102" i="3"/>
  <c r="AQ103" i="3"/>
  <c r="AP103" i="3" s="1"/>
  <c r="AQ105" i="3"/>
  <c r="AP105" i="3" s="1"/>
  <c r="AQ106" i="3"/>
  <c r="AQ107" i="3"/>
  <c r="AQ108" i="3"/>
  <c r="AP113" i="3"/>
  <c r="AP117" i="3"/>
  <c r="AP118" i="3"/>
  <c r="AP119" i="3"/>
  <c r="AP121" i="3"/>
  <c r="AP126" i="3"/>
  <c r="AP127" i="3"/>
  <c r="AP129" i="3"/>
  <c r="AP10" i="3"/>
  <c r="AP11" i="3"/>
  <c r="AP12" i="3"/>
  <c r="AP13" i="3"/>
  <c r="AP14" i="3"/>
  <c r="AP16" i="3"/>
  <c r="AP17" i="3"/>
  <c r="AP18" i="3"/>
  <c r="AP19" i="3"/>
  <c r="AP22" i="3"/>
  <c r="AP24" i="3"/>
  <c r="AP25" i="3"/>
  <c r="AP26" i="3"/>
  <c r="AP27" i="3"/>
  <c r="AP28" i="3"/>
  <c r="AP29" i="3"/>
  <c r="AP30" i="3"/>
  <c r="AP32" i="3"/>
  <c r="AP33" i="3"/>
  <c r="AP34" i="3"/>
  <c r="AP35" i="3"/>
  <c r="AP36" i="3"/>
  <c r="AP37" i="3"/>
  <c r="AP38" i="3"/>
  <c r="AP40" i="3"/>
  <c r="AP42" i="3"/>
  <c r="AP43" i="3"/>
  <c r="AP44" i="3"/>
  <c r="AP46" i="3"/>
  <c r="AP48" i="3"/>
  <c r="AP50" i="3"/>
  <c r="AP51" i="3"/>
  <c r="AP52" i="3"/>
  <c r="AP53" i="3"/>
  <c r="AP54" i="3"/>
  <c r="AP56" i="3"/>
  <c r="AP58" i="3"/>
  <c r="AP59" i="3"/>
  <c r="AP60" i="3"/>
  <c r="AP61" i="3"/>
  <c r="AP66" i="3"/>
  <c r="AP68" i="3"/>
  <c r="AP70" i="3"/>
  <c r="AP72" i="3"/>
  <c r="AP74" i="3"/>
  <c r="AP75" i="3"/>
  <c r="AP76" i="3"/>
  <c r="AP78" i="3"/>
  <c r="AP80" i="3"/>
  <c r="AP82" i="3"/>
  <c r="AP83" i="3"/>
  <c r="AP84" i="3"/>
  <c r="AP86" i="3"/>
  <c r="AP88" i="3"/>
  <c r="AP90" i="3"/>
  <c r="AP91" i="3"/>
  <c r="AP92" i="3"/>
  <c r="AP94" i="3"/>
  <c r="AP96" i="3"/>
  <c r="AP98" i="3"/>
  <c r="AP99" i="3"/>
  <c r="AP100" i="3"/>
  <c r="AP102" i="3"/>
  <c r="AP106" i="3"/>
  <c r="AP107" i="3"/>
  <c r="AP108" i="3"/>
  <c r="AP111" i="3"/>
  <c r="AO112" i="3"/>
  <c r="AO113" i="3"/>
  <c r="AO114" i="3"/>
  <c r="AO115" i="3"/>
  <c r="AO116" i="3"/>
  <c r="AO117" i="3"/>
  <c r="AO118" i="3"/>
  <c r="AO119" i="3"/>
  <c r="AO120" i="3"/>
  <c r="AO121" i="3"/>
  <c r="AO122" i="3"/>
  <c r="AO126" i="3"/>
  <c r="AO127" i="3"/>
  <c r="AO128" i="3"/>
  <c r="AO129" i="3"/>
  <c r="AO130" i="3"/>
  <c r="AO131" i="3"/>
  <c r="AO10" i="3"/>
  <c r="AO11" i="3"/>
  <c r="AO12" i="3"/>
  <c r="AO13" i="3"/>
  <c r="AO14" i="3"/>
  <c r="AO15" i="3"/>
  <c r="AO16" i="3"/>
  <c r="AO17" i="3"/>
  <c r="AO18" i="3"/>
  <c r="AO19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2" i="3"/>
  <c r="AO43" i="3"/>
  <c r="AO44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3" i="3"/>
  <c r="AO65" i="3"/>
  <c r="AO66" i="3"/>
  <c r="AO68" i="3"/>
  <c r="AO69" i="3"/>
  <c r="AO70" i="3"/>
  <c r="AO72" i="3"/>
  <c r="AO73" i="3"/>
  <c r="AO74" i="3"/>
  <c r="AO75" i="3"/>
  <c r="AO76" i="3"/>
  <c r="AO78" i="3"/>
  <c r="AO80" i="3"/>
  <c r="AO81" i="3"/>
  <c r="AO82" i="3"/>
  <c r="AO83" i="3"/>
  <c r="AO84" i="3"/>
  <c r="AO85" i="3"/>
  <c r="AO86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5" i="3"/>
  <c r="AO106" i="3"/>
  <c r="AO107" i="3"/>
  <c r="AO108" i="3"/>
  <c r="AO111" i="3"/>
  <c r="AN108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6" i="3"/>
  <c r="AN127" i="3"/>
  <c r="AN128" i="3"/>
  <c r="AN129" i="3"/>
  <c r="AN130" i="3"/>
  <c r="AN131" i="3"/>
  <c r="AN10" i="3"/>
  <c r="AN11" i="3"/>
  <c r="AN12" i="3"/>
  <c r="AN13" i="3"/>
  <c r="AN14" i="3"/>
  <c r="AN15" i="3"/>
  <c r="AN16" i="3"/>
  <c r="AN17" i="3"/>
  <c r="AN18" i="3"/>
  <c r="AN19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2" i="3"/>
  <c r="AN43" i="3"/>
  <c r="AN44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3" i="3"/>
  <c r="AN65" i="3"/>
  <c r="AN66" i="3"/>
  <c r="AN68" i="3"/>
  <c r="AN69" i="3"/>
  <c r="AN70" i="3"/>
  <c r="AN72" i="3"/>
  <c r="AN73" i="3"/>
  <c r="AN74" i="3"/>
  <c r="AN75" i="3"/>
  <c r="AN76" i="3"/>
  <c r="AN78" i="3"/>
  <c r="AN80" i="3"/>
  <c r="AN81" i="3"/>
  <c r="AN82" i="3"/>
  <c r="AN83" i="3"/>
  <c r="AN84" i="3"/>
  <c r="AN85" i="3"/>
  <c r="AN86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5" i="3"/>
  <c r="AN106" i="3"/>
  <c r="AN107" i="3"/>
  <c r="AM99" i="3"/>
  <c r="AM100" i="3"/>
  <c r="AM101" i="3"/>
  <c r="AM102" i="3"/>
  <c r="AM103" i="3"/>
  <c r="AM105" i="3"/>
  <c r="AM106" i="3"/>
  <c r="AM107" i="3"/>
  <c r="AM108" i="3"/>
  <c r="AM111" i="3"/>
  <c r="AM112" i="3"/>
  <c r="AM113" i="3"/>
  <c r="AM114" i="3"/>
  <c r="AM115" i="3"/>
  <c r="AM116" i="3"/>
  <c r="AM117" i="3"/>
  <c r="AM118" i="3"/>
  <c r="AM119" i="3"/>
  <c r="AM120" i="3"/>
  <c r="AM121" i="3"/>
  <c r="AM122" i="3"/>
  <c r="AM126" i="3"/>
  <c r="AM127" i="3"/>
  <c r="AM128" i="3"/>
  <c r="AM129" i="3"/>
  <c r="AM130" i="3"/>
  <c r="AM131" i="3"/>
  <c r="AM10" i="3"/>
  <c r="AM11" i="3"/>
  <c r="AM12" i="3"/>
  <c r="AM13" i="3"/>
  <c r="AM14" i="3"/>
  <c r="AM15" i="3"/>
  <c r="AM16" i="3"/>
  <c r="AM17" i="3"/>
  <c r="AM18" i="3"/>
  <c r="AM19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2" i="3"/>
  <c r="AM43" i="3"/>
  <c r="AM44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3" i="3"/>
  <c r="AM65" i="3"/>
  <c r="AM66" i="3"/>
  <c r="AM68" i="3"/>
  <c r="AM69" i="3"/>
  <c r="AM70" i="3"/>
  <c r="AM72" i="3"/>
  <c r="AM73" i="3"/>
  <c r="AM74" i="3"/>
  <c r="AM75" i="3"/>
  <c r="AM76" i="3"/>
  <c r="AM78" i="3"/>
  <c r="AM80" i="3"/>
  <c r="AM81" i="3"/>
  <c r="AM82" i="3"/>
  <c r="AM83" i="3"/>
  <c r="AM84" i="3"/>
  <c r="AM85" i="3"/>
  <c r="AM86" i="3"/>
  <c r="AM88" i="3"/>
  <c r="AM89" i="3"/>
  <c r="AM90" i="3"/>
  <c r="AM91" i="3"/>
  <c r="AM92" i="3"/>
  <c r="AM93" i="3"/>
  <c r="AM94" i="3"/>
  <c r="AM95" i="3"/>
  <c r="AM96" i="3"/>
  <c r="AM97" i="3"/>
  <c r="AM98" i="3"/>
  <c r="AL101" i="3"/>
  <c r="AL102" i="3"/>
  <c r="AL103" i="3"/>
  <c r="AL105" i="3"/>
  <c r="AL106" i="3"/>
  <c r="AL107" i="3"/>
  <c r="AL108" i="3"/>
  <c r="AL111" i="3"/>
  <c r="AL112" i="3"/>
  <c r="AL113" i="3"/>
  <c r="AL114" i="3"/>
  <c r="AL115" i="3"/>
  <c r="AL116" i="3"/>
  <c r="AL117" i="3"/>
  <c r="AL118" i="3"/>
  <c r="AL119" i="3"/>
  <c r="AL120" i="3"/>
  <c r="AL121" i="3"/>
  <c r="AL122" i="3"/>
  <c r="AL126" i="3"/>
  <c r="AL127" i="3"/>
  <c r="AL128" i="3"/>
  <c r="AL129" i="3"/>
  <c r="AL130" i="3"/>
  <c r="AL131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3" i="3"/>
  <c r="AL65" i="3"/>
  <c r="AL66" i="3"/>
  <c r="AL68" i="3"/>
  <c r="AL69" i="3"/>
  <c r="AL70" i="3"/>
  <c r="AL72" i="3"/>
  <c r="AL73" i="3"/>
  <c r="AL74" i="3"/>
  <c r="AL75" i="3"/>
  <c r="AL76" i="3"/>
  <c r="AL78" i="3"/>
  <c r="AL80" i="3"/>
  <c r="AL81" i="3"/>
  <c r="AL82" i="3"/>
  <c r="AL83" i="3"/>
  <c r="AL84" i="3"/>
  <c r="AL85" i="3"/>
  <c r="AL86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K106" i="3"/>
  <c r="AK107" i="3"/>
  <c r="AK108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6" i="3"/>
  <c r="AK127" i="3"/>
  <c r="AK128" i="3"/>
  <c r="AK129" i="3"/>
  <c r="AK130" i="3"/>
  <c r="AK131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3" i="3"/>
  <c r="AK65" i="3"/>
  <c r="AK66" i="3"/>
  <c r="AK68" i="3"/>
  <c r="AK69" i="3"/>
  <c r="AK70" i="3"/>
  <c r="AK72" i="3"/>
  <c r="AK73" i="3"/>
  <c r="AK74" i="3"/>
  <c r="AK75" i="3"/>
  <c r="AK76" i="3"/>
  <c r="AK78" i="3"/>
  <c r="AK80" i="3"/>
  <c r="AK81" i="3"/>
  <c r="AK82" i="3"/>
  <c r="AK83" i="3"/>
  <c r="AK84" i="3"/>
  <c r="AK85" i="3"/>
  <c r="AK86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5" i="3"/>
  <c r="AJ107" i="3"/>
  <c r="AJ108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6" i="3"/>
  <c r="AJ127" i="3"/>
  <c r="AJ128" i="3"/>
  <c r="AJ129" i="3"/>
  <c r="AJ130" i="3"/>
  <c r="AJ131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3" i="3"/>
  <c r="AJ65" i="3"/>
  <c r="AJ66" i="3"/>
  <c r="AJ68" i="3"/>
  <c r="AJ69" i="3"/>
  <c r="AJ70" i="3"/>
  <c r="AJ72" i="3"/>
  <c r="AJ73" i="3"/>
  <c r="AJ74" i="3"/>
  <c r="AJ75" i="3"/>
  <c r="AJ76" i="3"/>
  <c r="AJ78" i="3"/>
  <c r="AJ80" i="3"/>
  <c r="AJ81" i="3"/>
  <c r="AJ82" i="3"/>
  <c r="AJ83" i="3"/>
  <c r="AJ84" i="3"/>
  <c r="AJ85" i="3"/>
  <c r="AJ86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5" i="3"/>
  <c r="AJ106" i="3"/>
  <c r="AH101" i="3"/>
  <c r="AH102" i="3"/>
  <c r="AH103" i="3"/>
  <c r="AH105" i="3"/>
  <c r="AH106" i="3"/>
  <c r="AH107" i="3"/>
  <c r="AH108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6" i="3"/>
  <c r="AH127" i="3"/>
  <c r="AH128" i="3"/>
  <c r="AH129" i="3"/>
  <c r="AH130" i="3"/>
  <c r="AH131" i="3"/>
  <c r="AH10" i="3"/>
  <c r="AH11" i="3"/>
  <c r="AH12" i="3"/>
  <c r="AH13" i="3"/>
  <c r="AH14" i="3"/>
  <c r="AH15" i="3"/>
  <c r="AH16" i="3"/>
  <c r="AH17" i="3"/>
  <c r="AH18" i="3"/>
  <c r="AH19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2" i="3"/>
  <c r="AH43" i="3"/>
  <c r="AH44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3" i="3"/>
  <c r="AH65" i="3"/>
  <c r="AH66" i="3"/>
  <c r="AH68" i="3"/>
  <c r="AH69" i="3"/>
  <c r="AH70" i="3"/>
  <c r="AH72" i="3"/>
  <c r="AH73" i="3"/>
  <c r="AH74" i="3"/>
  <c r="AH75" i="3"/>
  <c r="AH76" i="3"/>
  <c r="AH78" i="3"/>
  <c r="AH80" i="3"/>
  <c r="AH81" i="3"/>
  <c r="AH82" i="3"/>
  <c r="AH83" i="3"/>
  <c r="AH84" i="3"/>
  <c r="AH85" i="3"/>
  <c r="AH86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G108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6" i="3"/>
  <c r="AG127" i="3"/>
  <c r="AG128" i="3"/>
  <c r="AG129" i="3"/>
  <c r="AG130" i="3"/>
  <c r="AG131" i="3"/>
  <c r="AG10" i="3"/>
  <c r="AG11" i="3"/>
  <c r="AG12" i="3"/>
  <c r="AG13" i="3"/>
  <c r="AG14" i="3"/>
  <c r="AG15" i="3"/>
  <c r="AG16" i="3"/>
  <c r="AG17" i="3"/>
  <c r="AG18" i="3"/>
  <c r="AG19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2" i="3"/>
  <c r="AG43" i="3"/>
  <c r="AG44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3" i="3"/>
  <c r="AG65" i="3"/>
  <c r="AG66" i="3"/>
  <c r="AG68" i="3"/>
  <c r="AG69" i="3"/>
  <c r="AG70" i="3"/>
  <c r="AG72" i="3"/>
  <c r="AG73" i="3"/>
  <c r="AG74" i="3"/>
  <c r="AG75" i="3"/>
  <c r="AG76" i="3"/>
  <c r="AG78" i="3"/>
  <c r="AG80" i="3"/>
  <c r="AG81" i="3"/>
  <c r="AG82" i="3"/>
  <c r="AG83" i="3"/>
  <c r="AG84" i="3"/>
  <c r="AG85" i="3"/>
  <c r="AG86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5" i="3"/>
  <c r="AG106" i="3"/>
  <c r="AG107" i="3"/>
  <c r="AF99" i="3"/>
  <c r="AF100" i="3"/>
  <c r="AF101" i="3"/>
  <c r="AF102" i="3"/>
  <c r="AF103" i="3"/>
  <c r="AF105" i="3"/>
  <c r="AF106" i="3"/>
  <c r="AF107" i="3"/>
  <c r="AF108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6" i="3"/>
  <c r="AF127" i="3"/>
  <c r="AF128" i="3"/>
  <c r="AF129" i="3"/>
  <c r="AF130" i="3"/>
  <c r="AF131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3" i="3"/>
  <c r="AF65" i="3"/>
  <c r="AF66" i="3"/>
  <c r="AF68" i="3"/>
  <c r="AF69" i="3"/>
  <c r="AF70" i="3"/>
  <c r="AF72" i="3"/>
  <c r="AF73" i="3"/>
  <c r="AF74" i="3"/>
  <c r="AF75" i="3"/>
  <c r="AF76" i="3"/>
  <c r="AF78" i="3"/>
  <c r="AF79" i="3"/>
  <c r="AF80" i="3"/>
  <c r="AF81" i="3"/>
  <c r="AF82" i="3"/>
  <c r="AF83" i="3"/>
  <c r="AF84" i="3"/>
  <c r="AF85" i="3"/>
  <c r="AF86" i="3"/>
  <c r="AF88" i="3"/>
  <c r="AF89" i="3"/>
  <c r="AF90" i="3"/>
  <c r="AF91" i="3"/>
  <c r="AF92" i="3"/>
  <c r="AF93" i="3"/>
  <c r="AF94" i="3"/>
  <c r="AF95" i="3"/>
  <c r="AF96" i="3"/>
  <c r="AF97" i="3"/>
  <c r="AF98" i="3"/>
  <c r="AE102" i="3"/>
  <c r="AE103" i="3"/>
  <c r="AE105" i="3"/>
  <c r="AE106" i="3"/>
  <c r="AE107" i="3"/>
  <c r="AE108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6" i="3"/>
  <c r="AE127" i="3"/>
  <c r="AE128" i="3"/>
  <c r="AE129" i="3"/>
  <c r="AE130" i="3"/>
  <c r="AE131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3" i="3"/>
  <c r="AE65" i="3"/>
  <c r="AE66" i="3"/>
  <c r="AE68" i="3"/>
  <c r="AE69" i="3"/>
  <c r="AE70" i="3"/>
  <c r="AE72" i="3"/>
  <c r="AE73" i="3"/>
  <c r="AE74" i="3"/>
  <c r="AE75" i="3"/>
  <c r="AE76" i="3"/>
  <c r="AE78" i="3"/>
  <c r="AE79" i="3"/>
  <c r="AE80" i="3"/>
  <c r="AE81" i="3"/>
  <c r="AE82" i="3"/>
  <c r="AE83" i="3"/>
  <c r="AE84" i="3"/>
  <c r="AE85" i="3"/>
  <c r="AE86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6" i="3"/>
  <c r="AD127" i="3"/>
  <c r="AD128" i="3"/>
  <c r="AD129" i="3"/>
  <c r="AD130" i="3"/>
  <c r="AD131" i="3"/>
  <c r="AD10" i="3"/>
  <c r="AD11" i="3"/>
  <c r="AD12" i="3"/>
  <c r="AD13" i="3"/>
  <c r="AD14" i="3"/>
  <c r="AD15" i="3"/>
  <c r="AD16" i="3"/>
  <c r="AD17" i="3"/>
  <c r="AD18" i="3"/>
  <c r="AD19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2" i="3"/>
  <c r="AD43" i="3"/>
  <c r="AD44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5" i="3"/>
  <c r="AD106" i="3"/>
  <c r="AD107" i="3"/>
  <c r="AD108" i="3"/>
  <c r="AC115" i="3"/>
  <c r="AC116" i="3"/>
  <c r="AC117" i="3"/>
  <c r="AC118" i="3"/>
  <c r="AC119" i="3"/>
  <c r="AC120" i="3"/>
  <c r="AC121" i="3"/>
  <c r="AC122" i="3"/>
  <c r="AC126" i="3"/>
  <c r="AC127" i="3"/>
  <c r="AC128" i="3"/>
  <c r="AC129" i="3"/>
  <c r="AC130" i="3"/>
  <c r="AC131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5" i="3"/>
  <c r="AC106" i="3"/>
  <c r="AC107" i="3"/>
  <c r="AC108" i="3"/>
  <c r="AC111" i="3"/>
  <c r="AC112" i="3"/>
  <c r="AC113" i="3"/>
  <c r="AC114" i="3"/>
  <c r="R105" i="3"/>
  <c r="R106" i="3"/>
  <c r="R107" i="3"/>
  <c r="S107" i="3" s="1"/>
  <c r="T107" i="3" s="1"/>
  <c r="V107" i="3" s="1"/>
  <c r="W107" i="3" s="1"/>
  <c r="X107" i="3" s="1"/>
  <c r="R108" i="3"/>
  <c r="S108" i="3" s="1"/>
  <c r="T108" i="3" s="1"/>
  <c r="V108" i="3" s="1"/>
  <c r="W108" i="3" s="1"/>
  <c r="X108" i="3" s="1"/>
  <c r="R111" i="3"/>
  <c r="S111" i="3" s="1"/>
  <c r="T111" i="3" s="1"/>
  <c r="V111" i="3" s="1"/>
  <c r="W111" i="3" s="1"/>
  <c r="X111" i="3" s="1"/>
  <c r="R112" i="3"/>
  <c r="R113" i="3"/>
  <c r="R114" i="3"/>
  <c r="R115" i="3"/>
  <c r="S115" i="3" s="1"/>
  <c r="T115" i="3" s="1"/>
  <c r="V115" i="3" s="1"/>
  <c r="W115" i="3" s="1"/>
  <c r="X115" i="3" s="1"/>
  <c r="R116" i="3"/>
  <c r="S116" i="3" s="1"/>
  <c r="T116" i="3" s="1"/>
  <c r="V116" i="3" s="1"/>
  <c r="W116" i="3" s="1"/>
  <c r="X116" i="3" s="1"/>
  <c r="R117" i="3"/>
  <c r="S117" i="3" s="1"/>
  <c r="T117" i="3" s="1"/>
  <c r="V117" i="3" s="1"/>
  <c r="W117" i="3" s="1"/>
  <c r="X117" i="3" s="1"/>
  <c r="R118" i="3"/>
  <c r="S118" i="3" s="1"/>
  <c r="T118" i="3" s="1"/>
  <c r="R119" i="3"/>
  <c r="S119" i="3" s="1"/>
  <c r="T119" i="3" s="1"/>
  <c r="V119" i="3" s="1"/>
  <c r="W119" i="3" s="1"/>
  <c r="X119" i="3" s="1"/>
  <c r="R120" i="3"/>
  <c r="R121" i="3"/>
  <c r="R122" i="3"/>
  <c r="R126" i="3"/>
  <c r="S126" i="3" s="1"/>
  <c r="T126" i="3" s="1"/>
  <c r="V126" i="3" s="1"/>
  <c r="W126" i="3" s="1"/>
  <c r="X126" i="3" s="1"/>
  <c r="S105" i="3"/>
  <c r="T105" i="3" s="1"/>
  <c r="V105" i="3" s="1"/>
  <c r="W105" i="3" s="1"/>
  <c r="X105" i="3" s="1"/>
  <c r="S106" i="3"/>
  <c r="S112" i="3"/>
  <c r="T112" i="3" s="1"/>
  <c r="V112" i="3" s="1"/>
  <c r="W112" i="3" s="1"/>
  <c r="X112" i="3" s="1"/>
  <c r="S113" i="3"/>
  <c r="S114" i="3"/>
  <c r="S120" i="3"/>
  <c r="T120" i="3" s="1"/>
  <c r="V120" i="3" s="1"/>
  <c r="W120" i="3" s="1"/>
  <c r="X120" i="3" s="1"/>
  <c r="S121" i="3"/>
  <c r="S122" i="3"/>
  <c r="S127" i="3"/>
  <c r="T127" i="3" s="1"/>
  <c r="S128" i="3"/>
  <c r="T106" i="3"/>
  <c r="T113" i="3"/>
  <c r="V113" i="3" s="1"/>
  <c r="W113" i="3" s="1"/>
  <c r="X113" i="3" s="1"/>
  <c r="T114" i="3"/>
  <c r="V114" i="3" s="1"/>
  <c r="W114" i="3" s="1"/>
  <c r="X114" i="3" s="1"/>
  <c r="T121" i="3"/>
  <c r="V121" i="3" s="1"/>
  <c r="W121" i="3" s="1"/>
  <c r="X121" i="3" s="1"/>
  <c r="T122" i="3"/>
  <c r="V122" i="3" s="1"/>
  <c r="W122" i="3" s="1"/>
  <c r="X122" i="3" s="1"/>
  <c r="U105" i="3"/>
  <c r="U106" i="3"/>
  <c r="U107" i="3"/>
  <c r="U108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6" i="3"/>
  <c r="U127" i="3"/>
  <c r="V106" i="3"/>
  <c r="W106" i="3" s="1"/>
  <c r="X106" i="3" s="1"/>
  <c r="X129" i="3"/>
  <c r="X130" i="3"/>
  <c r="X131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3" i="3"/>
  <c r="Y65" i="3"/>
  <c r="Y66" i="3"/>
  <c r="Y68" i="3"/>
  <c r="Y69" i="3"/>
  <c r="Y70" i="3"/>
  <c r="Y72" i="3"/>
  <c r="Y73" i="3"/>
  <c r="Y74" i="3"/>
  <c r="Y75" i="3"/>
  <c r="Y76" i="3"/>
  <c r="Y78" i="3"/>
  <c r="Y80" i="3"/>
  <c r="Y81" i="3"/>
  <c r="Y82" i="3"/>
  <c r="Y83" i="3"/>
  <c r="Y84" i="3"/>
  <c r="Y85" i="3"/>
  <c r="Y86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5" i="3"/>
  <c r="Y106" i="3"/>
  <c r="Y107" i="3"/>
  <c r="Y108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6" i="3"/>
  <c r="Y127" i="3"/>
  <c r="Y128" i="3"/>
  <c r="Y129" i="3"/>
  <c r="Y130" i="3"/>
  <c r="Y131" i="3"/>
  <c r="X91" i="3"/>
  <c r="X92" i="3"/>
  <c r="X93" i="3"/>
  <c r="X94" i="3"/>
  <c r="W91" i="3"/>
  <c r="W92" i="3"/>
  <c r="W93" i="3"/>
  <c r="W94" i="3"/>
  <c r="V91" i="3"/>
  <c r="V92" i="3"/>
  <c r="V93" i="3"/>
  <c r="V94" i="3"/>
  <c r="U91" i="3"/>
  <c r="U92" i="3"/>
  <c r="U93" i="3"/>
  <c r="U94" i="3"/>
  <c r="T91" i="3"/>
  <c r="T92" i="3"/>
  <c r="T93" i="3"/>
  <c r="T94" i="3"/>
  <c r="S91" i="3"/>
  <c r="S92" i="3"/>
  <c r="S93" i="3"/>
  <c r="S94" i="3"/>
  <c r="R91" i="3"/>
  <c r="R92" i="3"/>
  <c r="R93" i="3"/>
  <c r="R94" i="3"/>
  <c r="U75" i="3"/>
  <c r="R75" i="3"/>
  <c r="S75" i="3" s="1"/>
  <c r="T75" i="3" s="1"/>
  <c r="V75" i="3" s="1"/>
  <c r="W75" i="3" s="1"/>
  <c r="X75" i="3" s="1"/>
  <c r="U73" i="3"/>
  <c r="R73" i="3"/>
  <c r="S73" i="3" s="1"/>
  <c r="T73" i="3" s="1"/>
  <c r="V73" i="3" s="1"/>
  <c r="W73" i="3" s="1"/>
  <c r="X73" i="3" s="1"/>
  <c r="U59" i="3"/>
  <c r="R59" i="3"/>
  <c r="S59" i="3" s="1"/>
  <c r="T59" i="3" s="1"/>
  <c r="U50" i="3"/>
  <c r="R50" i="3"/>
  <c r="S50" i="3" s="1"/>
  <c r="T50" i="3" s="1"/>
  <c r="U48" i="3"/>
  <c r="R48" i="3"/>
  <c r="S48" i="3" s="1"/>
  <c r="T48" i="3" s="1"/>
  <c r="U43" i="3"/>
  <c r="U44" i="3"/>
  <c r="R43" i="3"/>
  <c r="S43" i="3" s="1"/>
  <c r="T43" i="3" s="1"/>
  <c r="R44" i="3"/>
  <c r="S44" i="3" s="1"/>
  <c r="T44" i="3" s="1"/>
  <c r="U41" i="3"/>
  <c r="R41" i="3"/>
  <c r="S41" i="3" s="1"/>
  <c r="T41" i="3" s="1"/>
  <c r="U38" i="3"/>
  <c r="R38" i="3"/>
  <c r="S38" i="3" s="1"/>
  <c r="T38" i="3" s="1"/>
  <c r="V38" i="3" s="1"/>
  <c r="W38" i="3" s="1"/>
  <c r="U24" i="3"/>
  <c r="R24" i="3"/>
  <c r="S24" i="3" s="1"/>
  <c r="T24" i="3" s="1"/>
  <c r="R20" i="3"/>
  <c r="S20" i="3" s="1"/>
  <c r="T20" i="3" s="1"/>
  <c r="U20" i="3"/>
  <c r="R33" i="3"/>
  <c r="S33" i="3" s="1"/>
  <c r="T33" i="3" s="1"/>
  <c r="R34" i="3"/>
  <c r="S34" i="3" s="1"/>
  <c r="T34" i="3" s="1"/>
  <c r="U33" i="3"/>
  <c r="U34" i="3"/>
  <c r="J32" i="3"/>
  <c r="J24" i="3"/>
  <c r="J18" i="3"/>
  <c r="J6" i="3"/>
  <c r="J7" i="3"/>
  <c r="J8" i="3"/>
  <c r="AR41" i="3" l="1"/>
  <c r="AR20" i="3"/>
  <c r="AM20" i="3"/>
  <c r="AN20" i="3" s="1"/>
  <c r="AM41" i="3"/>
  <c r="AN41" i="3" s="1"/>
  <c r="V118" i="3"/>
  <c r="W118" i="3" s="1"/>
  <c r="X118" i="3" s="1"/>
  <c r="V41" i="3"/>
  <c r="W41" i="3" s="1"/>
  <c r="V48" i="3"/>
  <c r="W48" i="3" s="1"/>
  <c r="X48" i="3" s="1"/>
  <c r="V44" i="3"/>
  <c r="W44" i="3" s="1"/>
  <c r="X44" i="3" s="1"/>
  <c r="V50" i="3"/>
  <c r="W50" i="3" s="1"/>
  <c r="X50" i="3" s="1"/>
  <c r="V24" i="3"/>
  <c r="W24" i="3" s="1"/>
  <c r="X24" i="3" s="1"/>
  <c r="V43" i="3"/>
  <c r="W43" i="3" s="1"/>
  <c r="V59" i="3"/>
  <c r="W59" i="3" s="1"/>
  <c r="X59" i="3" s="1"/>
  <c r="V20" i="3"/>
  <c r="W20" i="3" s="1"/>
  <c r="V34" i="3"/>
  <c r="W34" i="3" s="1"/>
  <c r="V33" i="3"/>
  <c r="W33" i="3" s="1"/>
  <c r="X41" i="3" l="1"/>
  <c r="AB41" i="3"/>
  <c r="AD41" i="3" s="1"/>
  <c r="X20" i="3"/>
  <c r="AB20" i="3"/>
  <c r="AD20" i="3" s="1"/>
  <c r="AO41" i="3"/>
  <c r="AQ41" i="3" s="1"/>
  <c r="AP41" i="3" s="1"/>
  <c r="AS41" i="3" s="1"/>
  <c r="AT41" i="3" s="1"/>
  <c r="AO20" i="3"/>
  <c r="AQ20" i="3" s="1"/>
  <c r="AP20" i="3" s="1"/>
  <c r="AS20" i="3" s="1"/>
  <c r="AT20" i="3" s="1"/>
  <c r="J20" i="3" s="1"/>
  <c r="AH41" i="3" l="1"/>
  <c r="AG41" i="3"/>
  <c r="AG20" i="3"/>
  <c r="AH20" i="3"/>
  <c r="D43" i="3" l="1"/>
  <c r="X43" i="3" s="1"/>
  <c r="D38" i="3"/>
  <c r="X38" i="3" s="1"/>
  <c r="D33" i="3"/>
  <c r="X33" i="3" s="1"/>
  <c r="D34" i="3"/>
  <c r="X34" i="3" s="1"/>
  <c r="D35" i="3"/>
  <c r="D32" i="3"/>
  <c r="D18" i="3"/>
  <c r="D8" i="3"/>
  <c r="D6" i="3"/>
  <c r="R58" i="3"/>
  <c r="S58" i="3" s="1"/>
  <c r="T58" i="3" s="1"/>
  <c r="U58" i="3"/>
  <c r="V58" i="3" l="1"/>
  <c r="W58" i="3" s="1"/>
  <c r="X58" i="3" s="1"/>
  <c r="G58" i="3" s="1"/>
  <c r="H58" i="3" s="1"/>
  <c r="I58" i="3" s="1"/>
  <c r="G116" i="3"/>
  <c r="H116" i="3" s="1"/>
  <c r="I116" i="3" s="1"/>
  <c r="AB58" i="3"/>
  <c r="R32" i="3"/>
  <c r="S32" i="3" s="1"/>
  <c r="T32" i="3" s="1"/>
  <c r="U32" i="3"/>
  <c r="AA58" i="3" l="1"/>
  <c r="AA116" i="3"/>
  <c r="V32" i="3"/>
  <c r="W32" i="3" s="1"/>
  <c r="X32" i="3" s="1"/>
  <c r="AA119" i="3"/>
  <c r="J116" i="3"/>
  <c r="AB116" i="3"/>
  <c r="J58" i="3"/>
  <c r="AB119" i="3"/>
  <c r="AB32" i="3"/>
  <c r="R18" i="3"/>
  <c r="S18" i="3" s="1"/>
  <c r="T18" i="3" s="1"/>
  <c r="U18" i="3"/>
  <c r="Y18" i="3"/>
  <c r="AA32" i="3" l="1"/>
  <c r="G119" i="3"/>
  <c r="H119" i="3" s="1"/>
  <c r="I119" i="3" s="1"/>
  <c r="J119" i="3"/>
  <c r="V18" i="3"/>
  <c r="W18" i="3" s="1"/>
  <c r="AA18" i="3" l="1"/>
  <c r="X18" i="3"/>
  <c r="AB18" i="3"/>
  <c r="U131" i="3" l="1"/>
  <c r="R131" i="3"/>
  <c r="S131" i="3" s="1"/>
  <c r="T131" i="3" s="1"/>
  <c r="U130" i="3"/>
  <c r="R130" i="3"/>
  <c r="S130" i="3" s="1"/>
  <c r="T130" i="3" s="1"/>
  <c r="U129" i="3"/>
  <c r="R129" i="3"/>
  <c r="S129" i="3" s="1"/>
  <c r="T129" i="3" s="1"/>
  <c r="U128" i="3"/>
  <c r="R128" i="3"/>
  <c r="R127" i="3"/>
  <c r="U61" i="3"/>
  <c r="R61" i="3"/>
  <c r="S61" i="3" s="1"/>
  <c r="T61" i="3" s="1"/>
  <c r="U60" i="3"/>
  <c r="R60" i="3"/>
  <c r="U101" i="3"/>
  <c r="R101" i="3"/>
  <c r="S101" i="3" s="1"/>
  <c r="T101" i="3" s="1"/>
  <c r="U98" i="3"/>
  <c r="R98" i="3"/>
  <c r="S98" i="3" s="1"/>
  <c r="T98" i="3" s="1"/>
  <c r="U97" i="3"/>
  <c r="R97" i="3"/>
  <c r="S97" i="3" s="1"/>
  <c r="T97" i="3" s="1"/>
  <c r="U103" i="3"/>
  <c r="R103" i="3"/>
  <c r="S103" i="3" s="1"/>
  <c r="T103" i="3" s="1"/>
  <c r="U47" i="3"/>
  <c r="R47" i="3"/>
  <c r="S47" i="3" s="1"/>
  <c r="T47" i="3" s="1"/>
  <c r="U102" i="3"/>
  <c r="R102" i="3"/>
  <c r="S102" i="3" s="1"/>
  <c r="T102" i="3" s="1"/>
  <c r="U100" i="3"/>
  <c r="R100" i="3"/>
  <c r="S100" i="3" s="1"/>
  <c r="T100" i="3" s="1"/>
  <c r="U90" i="3"/>
  <c r="R90" i="3"/>
  <c r="S90" i="3" s="1"/>
  <c r="T90" i="3" s="1"/>
  <c r="U46" i="3"/>
  <c r="R46" i="3"/>
  <c r="S46" i="3" s="1"/>
  <c r="T46" i="3" s="1"/>
  <c r="U99" i="3"/>
  <c r="R99" i="3"/>
  <c r="S99" i="3" s="1"/>
  <c r="T99" i="3" s="1"/>
  <c r="U96" i="3"/>
  <c r="R96" i="3"/>
  <c r="S96" i="3" s="1"/>
  <c r="T96" i="3" s="1"/>
  <c r="U95" i="3"/>
  <c r="R95" i="3"/>
  <c r="S95" i="3" s="1"/>
  <c r="T95" i="3" s="1"/>
  <c r="U78" i="3"/>
  <c r="R78" i="3"/>
  <c r="S78" i="3" s="1"/>
  <c r="T78" i="3" s="1"/>
  <c r="U89" i="3"/>
  <c r="R89" i="3"/>
  <c r="S89" i="3" s="1"/>
  <c r="T89" i="3" s="1"/>
  <c r="U88" i="3"/>
  <c r="R88" i="3"/>
  <c r="S88" i="3" s="1"/>
  <c r="T88" i="3" s="1"/>
  <c r="U86" i="3"/>
  <c r="R86" i="3"/>
  <c r="S86" i="3" s="1"/>
  <c r="T86" i="3" s="1"/>
  <c r="U84" i="3"/>
  <c r="R84" i="3"/>
  <c r="S84" i="3" s="1"/>
  <c r="T84" i="3" s="1"/>
  <c r="U83" i="3"/>
  <c r="R83" i="3"/>
  <c r="S83" i="3" s="1"/>
  <c r="T83" i="3" s="1"/>
  <c r="U82" i="3"/>
  <c r="R82" i="3"/>
  <c r="S82" i="3" s="1"/>
  <c r="T82" i="3" s="1"/>
  <c r="U81" i="3"/>
  <c r="R81" i="3"/>
  <c r="S81" i="3" s="1"/>
  <c r="T81" i="3" s="1"/>
  <c r="U80" i="3"/>
  <c r="R80" i="3"/>
  <c r="S80" i="3" s="1"/>
  <c r="T80" i="3" s="1"/>
  <c r="U85" i="3"/>
  <c r="R85" i="3"/>
  <c r="S85" i="3" s="1"/>
  <c r="T85" i="3" s="1"/>
  <c r="U68" i="3"/>
  <c r="R68" i="3"/>
  <c r="S68" i="3" s="1"/>
  <c r="T68" i="3" s="1"/>
  <c r="U76" i="3"/>
  <c r="R76" i="3"/>
  <c r="S76" i="3" s="1"/>
  <c r="T76" i="3" s="1"/>
  <c r="U74" i="3"/>
  <c r="R74" i="3"/>
  <c r="S74" i="3" s="1"/>
  <c r="T74" i="3" s="1"/>
  <c r="U72" i="3"/>
  <c r="R72" i="3"/>
  <c r="S72" i="3" s="1"/>
  <c r="T72" i="3" s="1"/>
  <c r="U70" i="3"/>
  <c r="R70" i="3"/>
  <c r="S70" i="3" s="1"/>
  <c r="T70" i="3" s="1"/>
  <c r="U69" i="3"/>
  <c r="R69" i="3"/>
  <c r="S69" i="3" s="1"/>
  <c r="T69" i="3" s="1"/>
  <c r="U37" i="3"/>
  <c r="R37" i="3"/>
  <c r="S37" i="3" s="1"/>
  <c r="T37" i="3" s="1"/>
  <c r="U66" i="3"/>
  <c r="R66" i="3"/>
  <c r="S66" i="3" s="1"/>
  <c r="T66" i="3" s="1"/>
  <c r="U65" i="3"/>
  <c r="R65" i="3"/>
  <c r="S65" i="3" s="1"/>
  <c r="T65" i="3" s="1"/>
  <c r="U63" i="3"/>
  <c r="R63" i="3"/>
  <c r="S63" i="3" s="1"/>
  <c r="T63" i="3" s="1"/>
  <c r="U53" i="3"/>
  <c r="R53" i="3"/>
  <c r="S53" i="3" s="1"/>
  <c r="T53" i="3" s="1"/>
  <c r="U56" i="3"/>
  <c r="R56" i="3"/>
  <c r="S56" i="3" s="1"/>
  <c r="T56" i="3" s="1"/>
  <c r="U55" i="3"/>
  <c r="R55" i="3"/>
  <c r="S55" i="3" s="1"/>
  <c r="T55" i="3" s="1"/>
  <c r="U54" i="3"/>
  <c r="R54" i="3"/>
  <c r="S54" i="3" s="1"/>
  <c r="T54" i="3" s="1"/>
  <c r="U57" i="3"/>
  <c r="R57" i="3"/>
  <c r="S57" i="3" s="1"/>
  <c r="T57" i="3" s="1"/>
  <c r="U49" i="3"/>
  <c r="R49" i="3"/>
  <c r="S49" i="3" s="1"/>
  <c r="T49" i="3" s="1"/>
  <c r="U51" i="3"/>
  <c r="R51" i="3"/>
  <c r="S51" i="3" s="1"/>
  <c r="T51" i="3" s="1"/>
  <c r="U52" i="3"/>
  <c r="R52" i="3"/>
  <c r="S52" i="3" s="1"/>
  <c r="T52" i="3" s="1"/>
  <c r="U42" i="3"/>
  <c r="R42" i="3"/>
  <c r="S42" i="3" s="1"/>
  <c r="T42" i="3" s="1"/>
  <c r="U40" i="3"/>
  <c r="R40" i="3"/>
  <c r="S40" i="3" s="1"/>
  <c r="T40" i="3" s="1"/>
  <c r="U39" i="3"/>
  <c r="R39" i="3"/>
  <c r="S39" i="3" s="1"/>
  <c r="T39" i="3" s="1"/>
  <c r="U35" i="3"/>
  <c r="R35" i="3"/>
  <c r="S35" i="3" s="1"/>
  <c r="T35" i="3" s="1"/>
  <c r="U36" i="3"/>
  <c r="R36" i="3"/>
  <c r="S36" i="3" s="1"/>
  <c r="T36" i="3" s="1"/>
  <c r="Y17" i="3"/>
  <c r="U17" i="3"/>
  <c r="R17" i="3"/>
  <c r="S17" i="3" s="1"/>
  <c r="T17" i="3" s="1"/>
  <c r="U31" i="3"/>
  <c r="R31" i="3"/>
  <c r="S31" i="3" s="1"/>
  <c r="T31" i="3" s="1"/>
  <c r="U30" i="3"/>
  <c r="R30" i="3"/>
  <c r="S30" i="3" s="1"/>
  <c r="T30" i="3" s="1"/>
  <c r="U29" i="3"/>
  <c r="R29" i="3"/>
  <c r="S29" i="3" s="1"/>
  <c r="T29" i="3" s="1"/>
  <c r="U28" i="3"/>
  <c r="R28" i="3"/>
  <c r="S28" i="3" s="1"/>
  <c r="T28" i="3" s="1"/>
  <c r="U27" i="3"/>
  <c r="R27" i="3"/>
  <c r="S27" i="3" s="1"/>
  <c r="T27" i="3" s="1"/>
  <c r="U26" i="3"/>
  <c r="R26" i="3"/>
  <c r="S26" i="3" s="1"/>
  <c r="T26" i="3" s="1"/>
  <c r="U25" i="3"/>
  <c r="R25" i="3"/>
  <c r="S25" i="3" s="1"/>
  <c r="T25" i="3" s="1"/>
  <c r="U23" i="3"/>
  <c r="R23" i="3"/>
  <c r="S23" i="3" s="1"/>
  <c r="T23" i="3" s="1"/>
  <c r="U22" i="3"/>
  <c r="R22" i="3"/>
  <c r="S22" i="3" s="1"/>
  <c r="T22" i="3" s="1"/>
  <c r="U21" i="3"/>
  <c r="R21" i="3"/>
  <c r="S21" i="3" s="1"/>
  <c r="T21" i="3" s="1"/>
  <c r="Y19" i="3"/>
  <c r="U19" i="3"/>
  <c r="R19" i="3"/>
  <c r="S19" i="3" s="1"/>
  <c r="T19" i="3" s="1"/>
  <c r="Y16" i="3"/>
  <c r="U16" i="3"/>
  <c r="R16" i="3"/>
  <c r="S16" i="3" s="1"/>
  <c r="T16" i="3" s="1"/>
  <c r="Y14" i="3"/>
  <c r="U14" i="3"/>
  <c r="R14" i="3"/>
  <c r="S14" i="3" s="1"/>
  <c r="T14" i="3" s="1"/>
  <c r="Y15" i="3"/>
  <c r="U15" i="3"/>
  <c r="R15" i="3"/>
  <c r="S15" i="3" s="1"/>
  <c r="T15" i="3" s="1"/>
  <c r="Y13" i="3"/>
  <c r="U13" i="3"/>
  <c r="R13" i="3"/>
  <c r="S13" i="3" s="1"/>
  <c r="T13" i="3" s="1"/>
  <c r="Y11" i="3"/>
  <c r="U11" i="3"/>
  <c r="R11" i="3"/>
  <c r="S11" i="3" s="1"/>
  <c r="T11" i="3" s="1"/>
  <c r="Y12" i="3"/>
  <c r="U12" i="3"/>
  <c r="R12" i="3"/>
  <c r="S12" i="3" s="1"/>
  <c r="T12" i="3" s="1"/>
  <c r="Y10" i="3"/>
  <c r="U10" i="3"/>
  <c r="R10" i="3"/>
  <c r="S10" i="3" s="1"/>
  <c r="T10" i="3" s="1"/>
  <c r="AL9" i="3"/>
  <c r="AK9" i="3"/>
  <c r="AJ9" i="3"/>
  <c r="Y9" i="3"/>
  <c r="U9" i="3"/>
  <c r="R9" i="3"/>
  <c r="S9" i="3" s="1"/>
  <c r="T9" i="3" s="1"/>
  <c r="V17" i="3" l="1"/>
  <c r="W17" i="3" s="1"/>
  <c r="V49" i="3"/>
  <c r="W49" i="3" s="1"/>
  <c r="V25" i="3"/>
  <c r="W25" i="3" s="1"/>
  <c r="AA25" i="3" s="1"/>
  <c r="V68" i="3"/>
  <c r="W68" i="3" s="1"/>
  <c r="X68" i="3" s="1"/>
  <c r="G68" i="3" s="1"/>
  <c r="H68" i="3" s="1"/>
  <c r="V80" i="3"/>
  <c r="W80" i="3" s="1"/>
  <c r="X80" i="3" s="1"/>
  <c r="G80" i="3" s="1"/>
  <c r="V127" i="3"/>
  <c r="V129" i="3"/>
  <c r="W129" i="3" s="1"/>
  <c r="AB129" i="3" s="1"/>
  <c r="V9" i="3"/>
  <c r="W9" i="3" s="1"/>
  <c r="AA9" i="3" s="1"/>
  <c r="AC9" i="3" s="1"/>
  <c r="V12" i="3"/>
  <c r="W12" i="3" s="1"/>
  <c r="AB12" i="3" s="1"/>
  <c r="V37" i="3"/>
  <c r="W37" i="3" s="1"/>
  <c r="X37" i="3" s="1"/>
  <c r="G37" i="3" s="1"/>
  <c r="V85" i="3"/>
  <c r="W85" i="3" s="1"/>
  <c r="X85" i="3" s="1"/>
  <c r="G85" i="3" s="1"/>
  <c r="H85" i="3" s="1"/>
  <c r="I85" i="3" s="1"/>
  <c r="V86" i="3"/>
  <c r="W86" i="3" s="1"/>
  <c r="X86" i="3" s="1"/>
  <c r="G86" i="3" s="1"/>
  <c r="G115" i="3"/>
  <c r="V36" i="3"/>
  <c r="W36" i="3" s="1"/>
  <c r="AA36" i="3" s="1"/>
  <c r="V66" i="3"/>
  <c r="W66" i="3" s="1"/>
  <c r="X66" i="3" s="1"/>
  <c r="G66" i="3" s="1"/>
  <c r="AB105" i="3"/>
  <c r="V23" i="3"/>
  <c r="W23" i="3" s="1"/>
  <c r="AA23" i="3" s="1"/>
  <c r="V57" i="3"/>
  <c r="W57" i="3" s="1"/>
  <c r="AA57" i="3" s="1"/>
  <c r="V81" i="3"/>
  <c r="W81" i="3" s="1"/>
  <c r="X81" i="3" s="1"/>
  <c r="G81" i="3" s="1"/>
  <c r="H81" i="3" s="1"/>
  <c r="I81" i="3" s="1"/>
  <c r="AB114" i="3"/>
  <c r="AA117" i="3"/>
  <c r="G120" i="3"/>
  <c r="V101" i="3"/>
  <c r="W101" i="3" s="1"/>
  <c r="X101" i="3" s="1"/>
  <c r="G101" i="3" s="1"/>
  <c r="V61" i="3"/>
  <c r="W61" i="3" s="1"/>
  <c r="X61" i="3" s="1"/>
  <c r="G61" i="3" s="1"/>
  <c r="G107" i="3"/>
  <c r="V11" i="3"/>
  <c r="W11" i="3" s="1"/>
  <c r="AB11" i="3" s="1"/>
  <c r="V15" i="3"/>
  <c r="W15" i="3" s="1"/>
  <c r="AB15" i="3" s="1"/>
  <c r="V16" i="3"/>
  <c r="W16" i="3" s="1"/>
  <c r="X16" i="3" s="1"/>
  <c r="G16" i="3" s="1"/>
  <c r="V29" i="3"/>
  <c r="W29" i="3" s="1"/>
  <c r="AA29" i="3" s="1"/>
  <c r="V40" i="3"/>
  <c r="W40" i="3" s="1"/>
  <c r="X40" i="3" s="1"/>
  <c r="G40" i="3" s="1"/>
  <c r="V53" i="3"/>
  <c r="W53" i="3" s="1"/>
  <c r="X53" i="3" s="1"/>
  <c r="G53" i="3" s="1"/>
  <c r="V72" i="3"/>
  <c r="W72" i="3" s="1"/>
  <c r="X72" i="3" s="1"/>
  <c r="G72" i="3" s="1"/>
  <c r="V89" i="3"/>
  <c r="W89" i="3" s="1"/>
  <c r="AA89" i="3" s="1"/>
  <c r="V95" i="3"/>
  <c r="W95" i="3" s="1"/>
  <c r="X95" i="3" s="1"/>
  <c r="G95" i="3" s="1"/>
  <c r="V99" i="3"/>
  <c r="W99" i="3" s="1"/>
  <c r="X99" i="3" s="1"/>
  <c r="G99" i="3" s="1"/>
  <c r="V103" i="3"/>
  <c r="W103" i="3" s="1"/>
  <c r="AA103" i="3" s="1"/>
  <c r="G106" i="3"/>
  <c r="V13" i="3"/>
  <c r="W13" i="3" s="1"/>
  <c r="AB13" i="3" s="1"/>
  <c r="V19" i="3"/>
  <c r="W19" i="3" s="1"/>
  <c r="X19" i="3" s="1"/>
  <c r="G19" i="3" s="1"/>
  <c r="V28" i="3"/>
  <c r="W28" i="3" s="1"/>
  <c r="AA28" i="3" s="1"/>
  <c r="V42" i="3"/>
  <c r="W42" i="3" s="1"/>
  <c r="AA42" i="3" s="1"/>
  <c r="V56" i="3"/>
  <c r="W56" i="3" s="1"/>
  <c r="AA56" i="3" s="1"/>
  <c r="V74" i="3"/>
  <c r="W74" i="3" s="1"/>
  <c r="AA74" i="3" s="1"/>
  <c r="V78" i="3"/>
  <c r="W78" i="3" s="1"/>
  <c r="AB78" i="3" s="1"/>
  <c r="V96" i="3"/>
  <c r="W96" i="3" s="1"/>
  <c r="X96" i="3" s="1"/>
  <c r="G96" i="3" s="1"/>
  <c r="V46" i="3"/>
  <c r="W46" i="3" s="1"/>
  <c r="AA46" i="3" s="1"/>
  <c r="V102" i="3"/>
  <c r="W102" i="3" s="1"/>
  <c r="X102" i="3" s="1"/>
  <c r="G102" i="3" s="1"/>
  <c r="H102" i="3" s="1"/>
  <c r="I102" i="3" s="1"/>
  <c r="V97" i="3"/>
  <c r="W97" i="3" s="1"/>
  <c r="AB97" i="3" s="1"/>
  <c r="G122" i="3"/>
  <c r="AR9" i="3"/>
  <c r="AB68" i="3"/>
  <c r="V21" i="3"/>
  <c r="W21" i="3" s="1"/>
  <c r="X21" i="3" s="1"/>
  <c r="G21" i="3" s="1"/>
  <c r="V26" i="3"/>
  <c r="W26" i="3" s="1"/>
  <c r="AA26" i="3" s="1"/>
  <c r="V30" i="3"/>
  <c r="W30" i="3" s="1"/>
  <c r="X30" i="3" s="1"/>
  <c r="G30" i="3" s="1"/>
  <c r="V35" i="3"/>
  <c r="W35" i="3" s="1"/>
  <c r="X35" i="3" s="1"/>
  <c r="G35" i="3" s="1"/>
  <c r="V52" i="3"/>
  <c r="W52" i="3" s="1"/>
  <c r="AB52" i="3" s="1"/>
  <c r="V54" i="3"/>
  <c r="W54" i="3" s="1"/>
  <c r="AB54" i="3" s="1"/>
  <c r="V63" i="3"/>
  <c r="W63" i="3" s="1"/>
  <c r="AA63" i="3" s="1"/>
  <c r="V69" i="3"/>
  <c r="W69" i="3" s="1"/>
  <c r="AA69" i="3" s="1"/>
  <c r="V76" i="3"/>
  <c r="W76" i="3" s="1"/>
  <c r="X76" i="3" s="1"/>
  <c r="V82" i="3"/>
  <c r="W82" i="3" s="1"/>
  <c r="X82" i="3" s="1"/>
  <c r="G82" i="3" s="1"/>
  <c r="V84" i="3"/>
  <c r="W84" i="3" s="1"/>
  <c r="AA84" i="3" s="1"/>
  <c r="I68" i="3"/>
  <c r="V90" i="3"/>
  <c r="W90" i="3" s="1"/>
  <c r="AB90" i="3" s="1"/>
  <c r="V100" i="3"/>
  <c r="W100" i="3" s="1"/>
  <c r="X100" i="3" s="1"/>
  <c r="G100" i="3" s="1"/>
  <c r="H100" i="3" s="1"/>
  <c r="I100" i="3" s="1"/>
  <c r="V47" i="3"/>
  <c r="W47" i="3" s="1"/>
  <c r="AB47" i="3" s="1"/>
  <c r="V130" i="3"/>
  <c r="W130" i="3" s="1"/>
  <c r="AB130" i="3" s="1"/>
  <c r="V131" i="3"/>
  <c r="W131" i="3" s="1"/>
  <c r="G131" i="3" s="1"/>
  <c r="V10" i="3"/>
  <c r="W10" i="3" s="1"/>
  <c r="X10" i="3" s="1"/>
  <c r="G10" i="3" s="1"/>
  <c r="V14" i="3"/>
  <c r="W14" i="3" s="1"/>
  <c r="X14" i="3" s="1"/>
  <c r="G14" i="3" s="1"/>
  <c r="V22" i="3"/>
  <c r="W22" i="3" s="1"/>
  <c r="AB22" i="3" s="1"/>
  <c r="V27" i="3"/>
  <c r="W27" i="3" s="1"/>
  <c r="AB27" i="3" s="1"/>
  <c r="V31" i="3"/>
  <c r="W31" i="3" s="1"/>
  <c r="AA31" i="3" s="1"/>
  <c r="V39" i="3"/>
  <c r="W39" i="3" s="1"/>
  <c r="AA39" i="3" s="1"/>
  <c r="V51" i="3"/>
  <c r="W51" i="3" s="1"/>
  <c r="X51" i="3" s="1"/>
  <c r="G51" i="3" s="1"/>
  <c r="V55" i="3"/>
  <c r="W55" i="3" s="1"/>
  <c r="AA55" i="3" s="1"/>
  <c r="V65" i="3"/>
  <c r="W65" i="3" s="1"/>
  <c r="AA65" i="3" s="1"/>
  <c r="V70" i="3"/>
  <c r="W70" i="3" s="1"/>
  <c r="AB70" i="3" s="1"/>
  <c r="V83" i="3"/>
  <c r="W83" i="3" s="1"/>
  <c r="AA83" i="3" s="1"/>
  <c r="V88" i="3"/>
  <c r="W88" i="3" s="1"/>
  <c r="X88" i="3" s="1"/>
  <c r="G88" i="3" s="1"/>
  <c r="AB9" i="3"/>
  <c r="AD9" i="3" s="1"/>
  <c r="AA19" i="3"/>
  <c r="X25" i="3"/>
  <c r="G25" i="3" s="1"/>
  <c r="AB25" i="3"/>
  <c r="X36" i="3"/>
  <c r="G36" i="3" s="1"/>
  <c r="X57" i="3"/>
  <c r="G57" i="3" s="1"/>
  <c r="AA16" i="3"/>
  <c r="AA17" i="3"/>
  <c r="X17" i="3"/>
  <c r="G17" i="3" s="1"/>
  <c r="AB17" i="3"/>
  <c r="AB40" i="3"/>
  <c r="AA49" i="3"/>
  <c r="X49" i="3"/>
  <c r="G49" i="3" s="1"/>
  <c r="AB49" i="3"/>
  <c r="X56" i="3"/>
  <c r="G56" i="3" s="1"/>
  <c r="AA61" i="3"/>
  <c r="AB61" i="3"/>
  <c r="AM9" i="3"/>
  <c r="V98" i="3"/>
  <c r="W98" i="3" s="1"/>
  <c r="S60" i="3"/>
  <c r="T60" i="3" s="1"/>
  <c r="V60" i="3" s="1"/>
  <c r="W60" i="3" s="1"/>
  <c r="T128" i="3"/>
  <c r="V128" i="3" s="1"/>
  <c r="W128" i="3" s="1"/>
  <c r="X128" i="3" s="1"/>
  <c r="W127" i="3" l="1"/>
  <c r="X127" i="3" s="1"/>
  <c r="G127" i="3" s="1"/>
  <c r="H127" i="3" s="1"/>
  <c r="I127" i="3" s="1"/>
  <c r="AB89" i="3"/>
  <c r="AA129" i="3"/>
  <c r="AA115" i="3"/>
  <c r="G129" i="3"/>
  <c r="G105" i="3"/>
  <c r="H105" i="3" s="1"/>
  <c r="I105" i="3" s="1"/>
  <c r="AA122" i="3"/>
  <c r="AB53" i="3"/>
  <c r="AA37" i="3"/>
  <c r="X78" i="3"/>
  <c r="G78" i="3" s="1"/>
  <c r="H78" i="3" s="1"/>
  <c r="I78" i="3" s="1"/>
  <c r="AB100" i="3"/>
  <c r="AB106" i="3"/>
  <c r="AA12" i="3"/>
  <c r="X103" i="3"/>
  <c r="G103" i="3" s="1"/>
  <c r="H103" i="3" s="1"/>
  <c r="I103" i="3" s="1"/>
  <c r="AB122" i="3"/>
  <c r="G117" i="3"/>
  <c r="H117" i="3" s="1"/>
  <c r="I117" i="3" s="1"/>
  <c r="AA68" i="3"/>
  <c r="X89" i="3"/>
  <c r="G89" i="3" s="1"/>
  <c r="H89" i="3" s="1"/>
  <c r="I89" i="3" s="1"/>
  <c r="AA101" i="3"/>
  <c r="AB80" i="3"/>
  <c r="AB37" i="3"/>
  <c r="AB57" i="3"/>
  <c r="X9" i="3"/>
  <c r="G9" i="3" s="1"/>
  <c r="H9" i="3" s="1"/>
  <c r="I9" i="3" s="1"/>
  <c r="AB115" i="3"/>
  <c r="AB117" i="3"/>
  <c r="AB102" i="3"/>
  <c r="AA53" i="3"/>
  <c r="AA82" i="3"/>
  <c r="AB31" i="3"/>
  <c r="AA80" i="3"/>
  <c r="X12" i="3"/>
  <c r="G12" i="3" s="1"/>
  <c r="H12" i="3" s="1"/>
  <c r="I12" i="3" s="1"/>
  <c r="AA88" i="3"/>
  <c r="AA106" i="3"/>
  <c r="G130" i="3"/>
  <c r="H130" i="3" s="1"/>
  <c r="I130" i="3" s="1"/>
  <c r="X97" i="3"/>
  <c r="G97" i="3" s="1"/>
  <c r="H97" i="3" s="1"/>
  <c r="I97" i="3" s="1"/>
  <c r="AB120" i="3"/>
  <c r="AA86" i="3"/>
  <c r="X42" i="3"/>
  <c r="G42" i="3" s="1"/>
  <c r="H42" i="3" s="1"/>
  <c r="I42" i="3" s="1"/>
  <c r="AB10" i="3"/>
  <c r="X29" i="3"/>
  <c r="G29" i="3" s="1"/>
  <c r="H29" i="3" s="1"/>
  <c r="I29" i="3" s="1"/>
  <c r="AA13" i="3"/>
  <c r="AA99" i="3"/>
  <c r="AA81" i="3"/>
  <c r="AA120" i="3"/>
  <c r="X46" i="3"/>
  <c r="G46" i="3" s="1"/>
  <c r="H46" i="3" s="1"/>
  <c r="I46" i="3" s="1"/>
  <c r="AB99" i="3"/>
  <c r="AA96" i="3"/>
  <c r="X13" i="3"/>
  <c r="G13" i="3" s="1"/>
  <c r="H13" i="3" s="1"/>
  <c r="I13" i="3" s="1"/>
  <c r="AB86" i="3"/>
  <c r="AB42" i="3"/>
  <c r="AB29" i="3"/>
  <c r="AB82" i="3"/>
  <c r="AA97" i="3"/>
  <c r="AB46" i="3"/>
  <c r="AB81" i="3"/>
  <c r="AB26" i="3"/>
  <c r="X69" i="3"/>
  <c r="G69" i="3" s="1"/>
  <c r="H69" i="3" s="1"/>
  <c r="I69" i="3" s="1"/>
  <c r="J105" i="3"/>
  <c r="AA40" i="3"/>
  <c r="AB23" i="3"/>
  <c r="X54" i="3"/>
  <c r="G54" i="3" s="1"/>
  <c r="H54" i="3" s="1"/>
  <c r="I54" i="3" s="1"/>
  <c r="AA130" i="3"/>
  <c r="AB84" i="3"/>
  <c r="AB83" i="3"/>
  <c r="G114" i="3"/>
  <c r="H114" i="3" s="1"/>
  <c r="I114" i="3" s="1"/>
  <c r="X23" i="3"/>
  <c r="G23" i="3" s="1"/>
  <c r="H23" i="3" s="1"/>
  <c r="I23" i="3" s="1"/>
  <c r="AB36" i="3"/>
  <c r="X11" i="3"/>
  <c r="G11" i="3" s="1"/>
  <c r="H11" i="3" s="1"/>
  <c r="I11" i="3" s="1"/>
  <c r="AA105" i="3"/>
  <c r="AB101" i="3"/>
  <c r="AA114" i="3"/>
  <c r="AB19" i="3"/>
  <c r="AA11" i="3"/>
  <c r="AB28" i="3"/>
  <c r="AA66" i="3"/>
  <c r="AA21" i="3"/>
  <c r="AB88" i="3"/>
  <c r="J100" i="3"/>
  <c r="AB56" i="3"/>
  <c r="X31" i="3"/>
  <c r="G31" i="3" s="1"/>
  <c r="H31" i="3" s="1"/>
  <c r="I31" i="3" s="1"/>
  <c r="X15" i="3"/>
  <c r="G15" i="3" s="1"/>
  <c r="H15" i="3" s="1"/>
  <c r="I15" i="3" s="1"/>
  <c r="AA78" i="3"/>
  <c r="X52" i="3"/>
  <c r="G52" i="3" s="1"/>
  <c r="H52" i="3" s="1"/>
  <c r="I52" i="3" s="1"/>
  <c r="AA85" i="3"/>
  <c r="AA107" i="3"/>
  <c r="X65" i="3"/>
  <c r="G65" i="3" s="1"/>
  <c r="H65" i="3" s="1"/>
  <c r="I65" i="3" s="1"/>
  <c r="AA100" i="3"/>
  <c r="AA102" i="3"/>
  <c r="AB103" i="3"/>
  <c r="X83" i="3"/>
  <c r="G83" i="3" s="1"/>
  <c r="H83" i="3" s="1"/>
  <c r="I83" i="3" s="1"/>
  <c r="X26" i="3"/>
  <c r="G26" i="3" s="1"/>
  <c r="H26" i="3" s="1"/>
  <c r="I26" i="3" s="1"/>
  <c r="AA54" i="3"/>
  <c r="AB131" i="3"/>
  <c r="AB85" i="3"/>
  <c r="AA72" i="3"/>
  <c r="AB63" i="3"/>
  <c r="AA52" i="3"/>
  <c r="X74" i="3"/>
  <c r="G74" i="3" s="1"/>
  <c r="AB39" i="3"/>
  <c r="AA131" i="3"/>
  <c r="AB107" i="3"/>
  <c r="AA95" i="3"/>
  <c r="AB66" i="3"/>
  <c r="X63" i="3"/>
  <c r="G63" i="3" s="1"/>
  <c r="H63" i="3" s="1"/>
  <c r="I63" i="3" s="1"/>
  <c r="AB30" i="3"/>
  <c r="AA70" i="3"/>
  <c r="AB76" i="3"/>
  <c r="AB65" i="3"/>
  <c r="AB14" i="3"/>
  <c r="J120" i="3"/>
  <c r="X47" i="3"/>
  <c r="G47" i="3" s="1"/>
  <c r="AA47" i="3"/>
  <c r="J66" i="3"/>
  <c r="AA30" i="3"/>
  <c r="X70" i="3"/>
  <c r="G70" i="3" s="1"/>
  <c r="H70" i="3" s="1"/>
  <c r="I70" i="3" s="1"/>
  <c r="AA76" i="3"/>
  <c r="AB21" i="3"/>
  <c r="J85" i="3"/>
  <c r="X39" i="3"/>
  <c r="G39" i="3" s="1"/>
  <c r="H39" i="3" s="1"/>
  <c r="I39" i="3" s="1"/>
  <c r="X55" i="3"/>
  <c r="G55" i="3" s="1"/>
  <c r="H55" i="3" s="1"/>
  <c r="I55" i="3" s="1"/>
  <c r="X27" i="3"/>
  <c r="G27" i="3" s="1"/>
  <c r="H27" i="3" s="1"/>
  <c r="I27" i="3" s="1"/>
  <c r="J61" i="3"/>
  <c r="J54" i="3"/>
  <c r="AB69" i="3"/>
  <c r="AA35" i="3"/>
  <c r="AB55" i="3"/>
  <c r="AA27" i="3"/>
  <c r="G76" i="3"/>
  <c r="H76" i="3" s="1"/>
  <c r="I76" i="3" s="1"/>
  <c r="J76" i="3"/>
  <c r="AB95" i="3"/>
  <c r="J21" i="3"/>
  <c r="X28" i="3"/>
  <c r="G28" i="3" s="1"/>
  <c r="H28" i="3" s="1"/>
  <c r="I28" i="3" s="1"/>
  <c r="AB96" i="3"/>
  <c r="X22" i="3"/>
  <c r="G22" i="3" s="1"/>
  <c r="H22" i="3" s="1"/>
  <c r="I22" i="3" s="1"/>
  <c r="AA90" i="3"/>
  <c r="J127" i="3"/>
  <c r="J102" i="3"/>
  <c r="J101" i="3"/>
  <c r="X84" i="3"/>
  <c r="G84" i="3" s="1"/>
  <c r="H84" i="3" s="1"/>
  <c r="I84" i="3" s="1"/>
  <c r="J107" i="3"/>
  <c r="AB72" i="3"/>
  <c r="AB16" i="3"/>
  <c r="AB74" i="3"/>
  <c r="AA15" i="3"/>
  <c r="AB35" i="3"/>
  <c r="AA14" i="3"/>
  <c r="J26" i="3"/>
  <c r="AB51" i="3"/>
  <c r="H51" i="3"/>
  <c r="I51" i="3" s="1"/>
  <c r="H10" i="3"/>
  <c r="I10" i="3" s="1"/>
  <c r="H131" i="3"/>
  <c r="I131" i="3" s="1"/>
  <c r="H120" i="3"/>
  <c r="I120" i="3" s="1"/>
  <c r="H61" i="3"/>
  <c r="I61" i="3" s="1"/>
  <c r="J17" i="3"/>
  <c r="H80" i="3"/>
  <c r="I80" i="3" s="1"/>
  <c r="H56" i="3"/>
  <c r="I56" i="3" s="1"/>
  <c r="AA22" i="3"/>
  <c r="H53" i="3"/>
  <c r="I53" i="3" s="1"/>
  <c r="H21" i="3"/>
  <c r="I21" i="3" s="1"/>
  <c r="AA10" i="3"/>
  <c r="H106" i="3"/>
  <c r="I106" i="3" s="1"/>
  <c r="H66" i="3"/>
  <c r="I66" i="3" s="1"/>
  <c r="H30" i="3"/>
  <c r="I30" i="3" s="1"/>
  <c r="H86" i="3"/>
  <c r="I86" i="3" s="1"/>
  <c r="H37" i="3"/>
  <c r="I37" i="3" s="1"/>
  <c r="H35" i="3"/>
  <c r="I35" i="3" s="1"/>
  <c r="H115" i="3"/>
  <c r="I115" i="3" s="1"/>
  <c r="J86" i="3"/>
  <c r="H99" i="3"/>
  <c r="I99" i="3" s="1"/>
  <c r="J30" i="3"/>
  <c r="H72" i="3"/>
  <c r="I72" i="3" s="1"/>
  <c r="H40" i="3"/>
  <c r="I40" i="3" s="1"/>
  <c r="H16" i="3"/>
  <c r="I16" i="3" s="1"/>
  <c r="AA51" i="3"/>
  <c r="X90" i="3"/>
  <c r="H74" i="3"/>
  <c r="I74" i="3" s="1"/>
  <c r="H19" i="3"/>
  <c r="I19" i="3" s="1"/>
  <c r="H82" i="3"/>
  <c r="I82" i="3" s="1"/>
  <c r="H14" i="3"/>
  <c r="I14" i="3" s="1"/>
  <c r="H122" i="3"/>
  <c r="I122" i="3" s="1"/>
  <c r="H95" i="3"/>
  <c r="I95" i="3" s="1"/>
  <c r="H17" i="3"/>
  <c r="I17" i="3" s="1"/>
  <c r="H96" i="3"/>
  <c r="I96" i="3" s="1"/>
  <c r="H36" i="3"/>
  <c r="I36" i="3" s="1"/>
  <c r="J131" i="3"/>
  <c r="J122" i="3"/>
  <c r="H107" i="3"/>
  <c r="I107" i="3" s="1"/>
  <c r="H101" i="3"/>
  <c r="I101" i="3" s="1"/>
  <c r="H129" i="3"/>
  <c r="I129" i="3" s="1"/>
  <c r="H49" i="3"/>
  <c r="I49" i="3" s="1"/>
  <c r="H57" i="3"/>
  <c r="I57" i="3" s="1"/>
  <c r="H25" i="3"/>
  <c r="I25" i="3" s="1"/>
  <c r="H88" i="3"/>
  <c r="I88" i="3" s="1"/>
  <c r="AA121" i="3"/>
  <c r="G121" i="3"/>
  <c r="AB121" i="3"/>
  <c r="J115" i="3"/>
  <c r="J68" i="3"/>
  <c r="J80" i="3"/>
  <c r="J37" i="3"/>
  <c r="J57" i="3"/>
  <c r="J36" i="3"/>
  <c r="J10" i="3"/>
  <c r="J95" i="3"/>
  <c r="G118" i="3"/>
  <c r="AB118" i="3"/>
  <c r="AA118" i="3"/>
  <c r="X60" i="3"/>
  <c r="G60" i="3" s="1"/>
  <c r="AB60" i="3"/>
  <c r="AA60" i="3"/>
  <c r="J82" i="3"/>
  <c r="J51" i="3"/>
  <c r="AN9" i="3"/>
  <c r="AO9" i="3" s="1"/>
  <c r="AQ9" i="3" s="1"/>
  <c r="AP9" i="3" s="1"/>
  <c r="AS9" i="3" s="1"/>
  <c r="AT9" i="3" s="1"/>
  <c r="J9" i="3" s="1"/>
  <c r="J97" i="3"/>
  <c r="J35" i="3"/>
  <c r="AF9" i="3"/>
  <c r="AE9" i="3"/>
  <c r="AA128" i="3"/>
  <c r="G128" i="3"/>
  <c r="AB128" i="3"/>
  <c r="X98" i="3"/>
  <c r="G98" i="3" s="1"/>
  <c r="AB98" i="3"/>
  <c r="AA98" i="3"/>
  <c r="J106" i="3"/>
  <c r="J81" i="3"/>
  <c r="J53" i="3"/>
  <c r="J42" i="3"/>
  <c r="J19" i="3"/>
  <c r="J99" i="3"/>
  <c r="AA126" i="3"/>
  <c r="G126" i="3"/>
  <c r="AB126" i="3"/>
  <c r="AB112" i="3"/>
  <c r="AA112" i="3"/>
  <c r="G112" i="3"/>
  <c r="J129" i="3"/>
  <c r="J88" i="3"/>
  <c r="G111" i="3"/>
  <c r="AB111" i="3"/>
  <c r="AA111" i="3"/>
  <c r="J14" i="3"/>
  <c r="J12" i="3"/>
  <c r="J96" i="3"/>
  <c r="J72" i="3"/>
  <c r="J56" i="3"/>
  <c r="J49" i="3"/>
  <c r="J40" i="3"/>
  <c r="J16" i="3"/>
  <c r="AH9" i="3"/>
  <c r="AG9" i="3"/>
  <c r="J25" i="3"/>
  <c r="AA127" i="3" l="1"/>
  <c r="AB127" i="3"/>
  <c r="J23" i="3"/>
  <c r="J78" i="3"/>
  <c r="J130" i="3"/>
  <c r="J89" i="3"/>
  <c r="J103" i="3"/>
  <c r="J29" i="3"/>
  <c r="J112" i="3"/>
  <c r="J11" i="3"/>
  <c r="J83" i="3"/>
  <c r="J52" i="3"/>
  <c r="J47" i="3"/>
  <c r="J117" i="3"/>
  <c r="J70" i="3"/>
  <c r="J114" i="3"/>
  <c r="J121" i="3"/>
  <c r="J74" i="3"/>
  <c r="J39" i="3"/>
  <c r="J55" i="3"/>
  <c r="J46" i="3"/>
  <c r="J13" i="3"/>
  <c r="J31" i="3"/>
  <c r="J69" i="3"/>
  <c r="J65" i="3"/>
  <c r="J15" i="3"/>
  <c r="J63" i="3"/>
  <c r="J27" i="3"/>
  <c r="J28" i="3"/>
  <c r="J128" i="3"/>
  <c r="J60" i="3"/>
  <c r="J22" i="3"/>
  <c r="J84" i="3"/>
  <c r="J111" i="3"/>
  <c r="H118" i="3"/>
  <c r="I118" i="3" s="1"/>
  <c r="H121" i="3"/>
  <c r="I121" i="3" s="1"/>
  <c r="G90" i="3"/>
  <c r="J90" i="3"/>
  <c r="H111" i="3"/>
  <c r="I111" i="3" s="1"/>
  <c r="H126" i="3"/>
  <c r="I126" i="3" s="1"/>
  <c r="H98" i="3"/>
  <c r="I98" i="3" s="1"/>
  <c r="H60" i="3"/>
  <c r="I60" i="3" s="1"/>
  <c r="H47" i="3"/>
  <c r="I47" i="3" s="1"/>
  <c r="H112" i="3"/>
  <c r="I112" i="3" s="1"/>
  <c r="H128" i="3"/>
  <c r="I128" i="3" s="1"/>
  <c r="J98" i="3"/>
  <c r="J126" i="3"/>
  <c r="J118" i="3"/>
  <c r="H90" i="3" l="1"/>
  <c r="I90" i="3" s="1"/>
</calcChain>
</file>

<file path=xl/sharedStrings.xml><?xml version="1.0" encoding="utf-8"?>
<sst xmlns="http://schemas.openxmlformats.org/spreadsheetml/2006/main" count="392" uniqueCount="262">
  <si>
    <t>Erklärung der Tabelle zur Ermittlung der Messunsicherheit stetiger Messgrößen</t>
  </si>
  <si>
    <t xml:space="preserve">Die Arbeitsgruppe Richtwerte der DGKL hat ein Konzept entwickelt, um die zulässige Messunsicherheit (zulässige Impräzision und zulässiger Bias) aus dem Referenzintervall abzuleiten. </t>
  </si>
  <si>
    <r>
      <t>Das Excel Programm errechnet automatisch die zulässige Impäzision (permissible coefficient of variation, pCV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 und die zulässigen Grenzen der  Abweichung des Einzelwertes gemäß den RiliBÄK 2008 (</t>
    </r>
    <r>
      <rPr>
        <sz val="10"/>
        <rFont val="Calibri"/>
        <family val="2"/>
      </rPr>
      <t>∆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)</t>
    </r>
    <r>
      <rPr>
        <sz val="10"/>
        <rFont val="Arial"/>
        <family val="2"/>
      </rPr>
      <t>.</t>
    </r>
  </si>
  <si>
    <t>RiliBÄK 2008</t>
  </si>
  <si>
    <t>Unit</t>
  </si>
  <si>
    <t>EQAS</t>
  </si>
  <si>
    <t>Plasma, Serum, Vollblut</t>
  </si>
  <si>
    <t>s</t>
  </si>
  <si>
    <t>Albumin</t>
  </si>
  <si>
    <t>g/l</t>
  </si>
  <si>
    <t>Alkalische Phosphatase</t>
  </si>
  <si>
    <t>U/l</t>
  </si>
  <si>
    <t>Aldosteron</t>
  </si>
  <si>
    <t>pmol/l</t>
  </si>
  <si>
    <t xml:space="preserve"> </t>
  </si>
  <si>
    <t>µg/l</t>
  </si>
  <si>
    <t>AST/GOT</t>
  </si>
  <si>
    <t>ALT/GPT</t>
  </si>
  <si>
    <t>µmol/l</t>
  </si>
  <si>
    <t>Calcium</t>
  </si>
  <si>
    <t>mmol/l</t>
  </si>
  <si>
    <t>Calcium,ionisiert</t>
  </si>
  <si>
    <t>Carbamazepin</t>
  </si>
  <si>
    <t>mg/l</t>
  </si>
  <si>
    <t>CEA</t>
  </si>
  <si>
    <t>Chlorid</t>
  </si>
  <si>
    <t>Cholinesterase</t>
  </si>
  <si>
    <t>Cortisol</t>
  </si>
  <si>
    <t>nmol/l</t>
  </si>
  <si>
    <t xml:space="preserve">Creatinin </t>
  </si>
  <si>
    <t>Creatinkinase</t>
  </si>
  <si>
    <t>Digoxin</t>
  </si>
  <si>
    <t>Digitoxin</t>
  </si>
  <si>
    <t>Erythrocyten</t>
  </si>
  <si>
    <t>Estradiol,17-beta</t>
  </si>
  <si>
    <t>Ferritin</t>
  </si>
  <si>
    <t xml:space="preserve">Glucose  </t>
  </si>
  <si>
    <t>Glucose</t>
  </si>
  <si>
    <t>mg/dl</t>
  </si>
  <si>
    <t>Hämoglobin</t>
  </si>
  <si>
    <t>%</t>
  </si>
  <si>
    <t>mmol/mol</t>
  </si>
  <si>
    <t>Hämatocrit</t>
  </si>
  <si>
    <t>IU/l</t>
  </si>
  <si>
    <t>Immunglobulin A</t>
  </si>
  <si>
    <t>Immunglobulin M</t>
  </si>
  <si>
    <t>Eisen</t>
  </si>
  <si>
    <t>Lactat</t>
  </si>
  <si>
    <t>1,2-Diglyzeride</t>
  </si>
  <si>
    <t xml:space="preserve">Magnesium </t>
  </si>
  <si>
    <t xml:space="preserve">pO2 </t>
  </si>
  <si>
    <t>mmHg</t>
  </si>
  <si>
    <t>arterial</t>
  </si>
  <si>
    <t xml:space="preserve">pCO2 </t>
  </si>
  <si>
    <t>pH</t>
  </si>
  <si>
    <t>Phenobarbital</t>
  </si>
  <si>
    <t>Phenytoin</t>
  </si>
  <si>
    <t>Phosphat</t>
  </si>
  <si>
    <t>Primidon</t>
  </si>
  <si>
    <t>Natrium</t>
  </si>
  <si>
    <t>testosterone</t>
  </si>
  <si>
    <t>Theophyllin</t>
  </si>
  <si>
    <t>Freies Thyroxin</t>
  </si>
  <si>
    <t>Protein (Gesamt)</t>
  </si>
  <si>
    <t>mU/l</t>
  </si>
  <si>
    <t>Trijodthyronin</t>
  </si>
  <si>
    <t>Freies Trijodthyronin</t>
  </si>
  <si>
    <t>hs-cTnT, w</t>
  </si>
  <si>
    <t>Thrombocyten</t>
  </si>
  <si>
    <t>Thromboplastin Zeit</t>
  </si>
  <si>
    <t>Harnstoff</t>
  </si>
  <si>
    <t>Vancomycin</t>
  </si>
  <si>
    <t>Urin</t>
  </si>
  <si>
    <t>Creatinin</t>
  </si>
  <si>
    <t>Kalium</t>
  </si>
  <si>
    <t>24 h-SU</t>
  </si>
  <si>
    <t>Liquor</t>
  </si>
  <si>
    <t>lumbal</t>
  </si>
  <si>
    <t>Die exemplarischen  Angaben in den gelben Feldern können geändert werden: Referenzgrenzen in Spalte B und C, Zielwert (Referenzmethodenwert oder Sollwert) in Spalte F</t>
  </si>
  <si>
    <r>
      <t>In den grünen Feldern erscheinen die berechneten zulässigen Grenzen</t>
    </r>
    <r>
      <rPr>
        <sz val="10"/>
        <rFont val="Arial"/>
        <family val="2"/>
      </rPr>
      <t xml:space="preserve"> für die jeweiligen, in Spalte D eingegebenen Zielwerte</t>
    </r>
  </si>
  <si>
    <t>Die Referenzgrenzen in Spalte B und C wurden den Nachschlagewerken von Thomas und Gressner/Arndt entnommen, sowie aus der NORIP Studie (Scandinavic common reference limits)</t>
  </si>
  <si>
    <t>Die Tabelle 1 enthält fast alle Messgrößen der RiliBÄK 2008</t>
  </si>
  <si>
    <t>&gt; 60 Jahre</t>
  </si>
  <si>
    <t>w</t>
  </si>
  <si>
    <t>stehend</t>
  </si>
  <si>
    <t>8 Uhr</t>
  </si>
  <si>
    <t>m</t>
  </si>
  <si>
    <t>Follikelphase</t>
  </si>
  <si>
    <t>w, 20-50 Jahre</t>
  </si>
  <si>
    <t>venöses Plasma</t>
  </si>
  <si>
    <t>m, 60 Jahre</t>
  </si>
  <si>
    <t>arteriell</t>
  </si>
  <si>
    <t>m, arterielll</t>
  </si>
  <si>
    <t>18-39 Jahre</t>
  </si>
  <si>
    <t>m, &lt; 50 Jahre</t>
  </si>
  <si>
    <t>m, 16 - 30 Jahre</t>
  </si>
  <si>
    <t>Messgröße</t>
  </si>
  <si>
    <t>sE,ln</t>
  </si>
  <si>
    <t>CVE*</t>
  </si>
  <si>
    <t xml:space="preserve">Tabelle   </t>
  </si>
  <si>
    <t>Median</t>
  </si>
  <si>
    <t>Steigung</t>
  </si>
  <si>
    <t>Mittelwert</t>
  </si>
  <si>
    <t>1. Thomas L. Clinical Laboratory Diagnostics, TH-Books GmbH, Frankfurt, Germany  ISBN 3-9805215-4-0.</t>
  </si>
  <si>
    <t>2.  Gressner AM, Arndt T. Lexikon der Medizinischen Laboratoriumsdiagnostik. Springer  Medizin Verlag, Heidelberg. 2007:1-1411.</t>
  </si>
  <si>
    <t xml:space="preserve">3. Rustad P, Felding P, Lahti A, Hylthoft Petersen P. Descriptive analytical data and consequences for calculation of common reference intervals in the Nordic reference </t>
  </si>
  <si>
    <t>interval project 2000. Scand J Clin Lab Invest 2004;64:343-70.</t>
  </si>
  <si>
    <t xml:space="preserve">4. Völzke H, Alte D, Kohlmann T, Lüdemann J, Nauck M, John U. et al. Reference intervals of serum thyroid function tests in a previously iodine </t>
  </si>
  <si>
    <t>deficient area. Thyroid 2005;15:102-8.</t>
  </si>
  <si>
    <t>5. Lee SL 2003:www.thyroidtoday.com/TTlibrary/current/AACE/20newsletter.pdf.</t>
  </si>
  <si>
    <t>6. Gaggin HK, Dang PV, Do LD, de Filippi CR, Christenson PH, Lewandrowski EL, Lewandrowski KB, Truong BG, Pham VQ, Wu VH, Nguyen TB, Belcher AM,</t>
  </si>
  <si>
    <t>the North South Easdt West trial. Clin Chem 2014;60:758-64.</t>
  </si>
  <si>
    <t>7. Ichihara K, Ceriotti F, Tam TH et al. The Asian project for collaborative derivation of reference intervals: (1) strategy and major results of standardized analytes.</t>
  </si>
  <si>
    <t>Clin Chem Lab Med 2012:51:1429-42.</t>
  </si>
  <si>
    <t>8. Anderson JR, Strickland D, Corbin D, Byrnes JA, Zweiback E. Age-specific reference ranges for serum prostate specific antigen. Urology 1995;46:54-7.</t>
  </si>
  <si>
    <t>9. Braga F, Panteghini M. Standardization and analytical goals for glycated hemoglobin measurement. Clin Chem Lab Med 2013;51:1719-26.</t>
  </si>
  <si>
    <t>Literatur:</t>
  </si>
  <si>
    <t>(median)</t>
  </si>
  <si>
    <t>ps a(xi)</t>
  </si>
  <si>
    <t>Lutealphase</t>
  </si>
  <si>
    <t>Ca 15-3</t>
  </si>
  <si>
    <t>kU/l</t>
  </si>
  <si>
    <t>pD(RL2)</t>
  </si>
  <si>
    <t>RL1-pD (RL1)</t>
  </si>
  <si>
    <t>RL1+pD (RL1)</t>
  </si>
  <si>
    <t>RL2-pD (RL2)</t>
  </si>
  <si>
    <t>RL2+pD (RL2)</t>
  </si>
  <si>
    <t>ps a(RL1)</t>
  </si>
  <si>
    <t>ps a(RL2)</t>
  </si>
  <si>
    <t>MW_log</t>
  </si>
  <si>
    <t>MW_lin</t>
  </si>
  <si>
    <t>SD_lin</t>
  </si>
  <si>
    <t>SD_lin_neu</t>
  </si>
  <si>
    <t>MW_log_neu</t>
  </si>
  <si>
    <t>SD_log_neu</t>
  </si>
  <si>
    <t>FPR_alt_%</t>
  </si>
  <si>
    <t>FPR_neu_%</t>
  </si>
  <si>
    <t>bias</t>
  </si>
  <si>
    <t>RL2+bias</t>
  </si>
  <si>
    <t>ΔFPR %</t>
  </si>
  <si>
    <t>Außerdem werden die Rate an falsch positiven Ergebnissen (ΔFPR %, Spalte J) und die zulässigen Grenzen der unteren Referenzgrenze (Spalte AC + AD = RL1 +</t>
  </si>
  <si>
    <t xml:space="preserve"> RL1 +/- pD)</t>
  </si>
  <si>
    <t>Die Angaben ab den Spalten K bis M dienen  zum Vergleich mit den RiliBÄK, die Spalten P bis AR (hellblau unterlegt) enthalten Hilfsgrößen zur Information (siehe Clin Chem Lab Med 2015).</t>
  </si>
  <si>
    <t xml:space="preserve">Femia A, Kelley C, Januzzi JL. Reference interval evaluation of high-sensitive troponin T and N-terminal B-type natriuretic peptide in Vietnam and the US: </t>
  </si>
  <si>
    <t>(as units)</t>
  </si>
  <si>
    <t>Dieses Konzept und die zugrunde liegenden Algorithmen wurden in Clin Chem Lab Med 2015 (Permissible limits of uncertainty in laboratory medicine;53:1161) und Lab Med (2016;40:141 und 2016;40:271) beschrieben.</t>
  </si>
  <si>
    <t>und der oberen Referenzgrenze (Spalte N + O) berechnet (siehe Lab Med 2016;40(3):199).</t>
  </si>
  <si>
    <t xml:space="preserve">Farbcodierung in Spalte J: grün="optimal", gelb "desirable", blau="acceptable"  </t>
  </si>
  <si>
    <t xml:space="preserve">pCVA (xi)   </t>
  </si>
  <si>
    <t>pCVA</t>
  </si>
  <si>
    <t>psA (Med)</t>
  </si>
  <si>
    <t>pD (RL1)</t>
  </si>
  <si>
    <t>RL1+bias</t>
  </si>
  <si>
    <t>Cholesterin (3)</t>
  </si>
  <si>
    <t xml:space="preserve">C-reaktives Protein </t>
  </si>
  <si>
    <t>1012/l</t>
  </si>
  <si>
    <t>γ-Glutamyltransferase</t>
  </si>
  <si>
    <t>h-Choriongonadotropin [2]</t>
  </si>
  <si>
    <t>LDH (3)</t>
  </si>
  <si>
    <t>Leucocyten (2)</t>
  </si>
  <si>
    <t>109/l</t>
  </si>
  <si>
    <t>Progesteron (2)</t>
  </si>
  <si>
    <t>Prostata specifisches Antigen (8)</t>
  </si>
  <si>
    <t>Testosteron (2)</t>
  </si>
  <si>
    <t>TSH (4,5))</t>
  </si>
  <si>
    <t>Transferrin (2)</t>
  </si>
  <si>
    <t>Troponin T (6)</t>
  </si>
  <si>
    <t>Triglyceride (7)</t>
  </si>
  <si>
    <t>Glucose (2)</t>
  </si>
  <si>
    <t>Immunglobulin A (2)</t>
  </si>
  <si>
    <t>Immunglobulin G (2)</t>
  </si>
  <si>
    <t>Immunglobulin M (2)</t>
  </si>
  <si>
    <t>Harnsäure, uric acid</t>
  </si>
  <si>
    <t>Harnstoff, urea</t>
  </si>
  <si>
    <t>Natrium, sodium</t>
  </si>
  <si>
    <t>Kalium (3), Potassium</t>
  </si>
  <si>
    <t>Protein (Gesamt), total protein</t>
  </si>
  <si>
    <r>
      <t>pU%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 (xi)</t>
    </r>
  </si>
  <si>
    <r>
      <t>pUEQAS %</t>
    </r>
    <r>
      <rPr>
        <b/>
        <vertAlign val="superscript"/>
        <sz val="10"/>
        <rFont val="Arial"/>
        <family val="2"/>
      </rPr>
      <t>5</t>
    </r>
  </si>
  <si>
    <r>
      <t>RMSD</t>
    </r>
    <r>
      <rPr>
        <b/>
        <vertAlign val="superscript"/>
        <sz val="10"/>
        <rFont val="Arial"/>
        <family val="2"/>
      </rPr>
      <t>6</t>
    </r>
  </si>
  <si>
    <r>
      <t>ΔFPR %</t>
    </r>
    <r>
      <rPr>
        <b/>
        <vertAlign val="superscript"/>
        <sz val="10"/>
        <rFont val="Arial"/>
        <family val="2"/>
      </rPr>
      <t>7</t>
    </r>
  </si>
  <si>
    <t>RiliBÄK 2003</t>
  </si>
  <si>
    <r>
      <rPr>
        <b/>
        <sz val="10"/>
        <rFont val="Arial"/>
        <family val="2"/>
      </rPr>
      <t xml:space="preserve">Bemerkung </t>
    </r>
    <r>
      <rPr>
        <b/>
        <vertAlign val="superscript"/>
        <sz val="10"/>
        <rFont val="Arial"/>
        <family val="2"/>
      </rPr>
      <t xml:space="preserve">3 </t>
    </r>
  </si>
  <si>
    <t>RiliBÄK 2019</t>
  </si>
  <si>
    <t>5,0 (3,0)</t>
  </si>
  <si>
    <t xml:space="preserve">Immunglobulin G </t>
  </si>
  <si>
    <t>RMSD</t>
  </si>
  <si>
    <t>1,25-OH2- Vitamin D</t>
  </si>
  <si>
    <t>25-OH-Vitamin D</t>
  </si>
  <si>
    <t>ACE</t>
  </si>
  <si>
    <t>Ca 125</t>
  </si>
  <si>
    <t>Ca 19-9</t>
  </si>
  <si>
    <t>CDT</t>
  </si>
  <si>
    <t>Cyclosporin A</t>
  </si>
  <si>
    <t>Cystatin C</t>
  </si>
  <si>
    <t>D-Dimer</t>
  </si>
  <si>
    <t>Ethanol (klinisch toxologisch)</t>
  </si>
  <si>
    <t>Fibrinogen</t>
  </si>
  <si>
    <t>Folsäure</t>
  </si>
  <si>
    <t>Freies PSA</t>
  </si>
  <si>
    <t>FSH</t>
  </si>
  <si>
    <t>Gentamicin</t>
  </si>
  <si>
    <t>Haptoglobin &gt; 1g/l</t>
  </si>
  <si>
    <t>Haptoglobin &lt; 1g/l</t>
  </si>
  <si>
    <t>HDL-C</t>
  </si>
  <si>
    <t>Immunglobulin E</t>
  </si>
  <si>
    <t>Interleukin 6</t>
  </si>
  <si>
    <t>LH</t>
  </si>
  <si>
    <t>Lithium</t>
  </si>
  <si>
    <t>Methotrexat</t>
  </si>
  <si>
    <t>NT-pro-BNP</t>
  </si>
  <si>
    <t>LDL-C</t>
  </si>
  <si>
    <t>Procalcitonin</t>
  </si>
  <si>
    <t>Renin</t>
  </si>
  <si>
    <t>Retikulozyten Automatenmessung</t>
  </si>
  <si>
    <t>Tacrolismus</t>
  </si>
  <si>
    <t>Troponin, kardiales</t>
  </si>
  <si>
    <t>Vitamin B12</t>
  </si>
  <si>
    <t>Prothrombinzeit (siehe Thromboplastinzeit)</t>
  </si>
  <si>
    <t>Thyroxin T4</t>
  </si>
  <si>
    <t>Valproinsäure</t>
  </si>
  <si>
    <t>Bilirubin,total</t>
  </si>
  <si>
    <t xml:space="preserve">Activierte PTT    </t>
  </si>
  <si>
    <t>&lt;10</t>
  </si>
  <si>
    <t>ng/l</t>
  </si>
  <si>
    <t>U/ml</t>
  </si>
  <si>
    <t>FEU/l</t>
  </si>
  <si>
    <t>&lt;100</t>
  </si>
  <si>
    <t>IU/ml</t>
  </si>
  <si>
    <t>&lt;1,04</t>
  </si>
  <si>
    <t>&gt;1,55</t>
  </si>
  <si>
    <t>UL</t>
  </si>
  <si>
    <t xml:space="preserve"> ng/l</t>
  </si>
  <si>
    <t>µ</t>
  </si>
  <si>
    <t>&lt;0,1</t>
  </si>
  <si>
    <t>&lt;5</t>
  </si>
  <si>
    <t>&gt;190</t>
  </si>
  <si>
    <t>Elfo Albumin</t>
  </si>
  <si>
    <t>&gt;486</t>
  </si>
  <si>
    <t>&lt;0,02</t>
  </si>
  <si>
    <t>bis 35</t>
  </si>
  <si>
    <t>mmol/24h</t>
  </si>
  <si>
    <t>mg/24h</t>
  </si>
  <si>
    <r>
      <t xml:space="preserve">Haemoglobin A1c </t>
    </r>
    <r>
      <rPr>
        <b/>
        <vertAlign val="superscript"/>
        <sz val="10"/>
        <color theme="1"/>
        <rFont val="Arial"/>
        <family val="2"/>
      </rPr>
      <t>8</t>
    </r>
  </si>
  <si>
    <r>
      <t xml:space="preserve">1 </t>
    </r>
    <r>
      <rPr>
        <sz val="10"/>
        <color theme="1"/>
        <rFont val="Arial"/>
        <family val="2"/>
      </rPr>
      <t>RG, Referenzgrenzen, wurden Ref.1 entnommen, falls nicht anders angegeben. Kursiv: 15% der oberen Referenzgrenze.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</si>
  <si>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es kann ein beliebiger Messwert oder Zielwert des Kontrollmaterials eingesetzt werden. Hier Mittelwert aus unterer und oberer Referenzgrenze</t>
    </r>
  </si>
  <si>
    <r>
      <t xml:space="preserve">3 </t>
    </r>
    <r>
      <rPr>
        <sz val="10"/>
        <color theme="1"/>
        <rFont val="Arial"/>
        <family val="2"/>
      </rPr>
      <t>m Männer, w Frauen, SU 24 Stunden-Sammelurin</t>
    </r>
  </si>
  <si>
    <r>
      <t xml:space="preserve">4   </t>
    </r>
    <r>
      <rPr>
        <sz val="10"/>
        <color theme="1"/>
        <rFont val="Arial"/>
        <family val="2"/>
      </rPr>
      <t xml:space="preserve">erweiterte Messunsicherheit, pU% = 2,39·pCVA  </t>
    </r>
    <r>
      <rPr>
        <vertAlign val="superscript"/>
        <sz val="10"/>
        <color theme="1"/>
        <rFont val="Arial"/>
        <family val="2"/>
      </rPr>
      <t xml:space="preserve">   </t>
    </r>
  </si>
  <si>
    <r>
      <t xml:space="preserve">5 </t>
    </r>
    <r>
      <rPr>
        <sz val="10"/>
        <color theme="1"/>
        <rFont val="Arial"/>
        <family val="2"/>
      </rPr>
      <t>erweiterte Messunsicherheit für Ringversuche.</t>
    </r>
  </si>
  <si>
    <r>
      <t xml:space="preserve">6 </t>
    </r>
    <r>
      <rPr>
        <sz val="10"/>
        <color theme="1"/>
        <rFont val="Arial"/>
        <family val="2"/>
      </rPr>
      <t>RMSD, root mean square of  measurement deviation (zulässige relative Abweichung des Einzelwertes, bzw. des relativen quadratischen Mittelwertes, Spalte 3 in Tabelle b1 der RiliBÄK 2008).</t>
    </r>
  </si>
  <si>
    <r>
      <t xml:space="preserve">7 </t>
    </r>
    <r>
      <rPr>
        <sz val="10"/>
        <color theme="1"/>
        <rFont val="Arial"/>
        <family val="2"/>
      </rPr>
      <t>siehe: Diagnostic efficiency in models for permissible meaurement uncertainty. J Lab Med 2017;41(6):309-315</t>
    </r>
  </si>
  <si>
    <r>
      <t xml:space="preserve">8  </t>
    </r>
    <r>
      <rPr>
        <sz val="10"/>
        <color theme="1"/>
        <rFont val="Arial"/>
        <family val="2"/>
      </rPr>
      <t>% = 0,09148 x IFCC (mmol/mol) + 2,152 (9)</t>
    </r>
    <r>
      <rPr>
        <vertAlign val="superscript"/>
        <sz val="10"/>
        <color theme="1"/>
        <rFont val="Arial"/>
        <family val="2"/>
      </rPr>
      <t xml:space="preserve">  </t>
    </r>
  </si>
  <si>
    <r>
      <t xml:space="preserve">untere RG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</si>
  <si>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obere RG </t>
    </r>
    <r>
      <rPr>
        <b/>
        <vertAlign val="superscript"/>
        <sz val="10"/>
        <color theme="1"/>
        <rFont val="Arial"/>
        <family val="2"/>
      </rPr>
      <t>1</t>
    </r>
  </si>
  <si>
    <r>
      <t>x</t>
    </r>
    <r>
      <rPr>
        <b/>
        <vertAlign val="subscript"/>
        <sz val="10"/>
        <color theme="1"/>
        <rFont val="Arial"/>
        <family val="2"/>
      </rPr>
      <t xml:space="preserve">i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</t>
    </r>
  </si>
  <si>
    <r>
      <t>10</t>
    </r>
    <r>
      <rPr>
        <vertAlign val="super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>/l</t>
    </r>
  </si>
  <si>
    <t>Lipase (41)   (war 2008 kein RiliBÄK Parameter)</t>
  </si>
  <si>
    <t>0.19</t>
  </si>
  <si>
    <t>1.87</t>
  </si>
  <si>
    <t>1.07</t>
  </si>
  <si>
    <r>
      <t>Zulässige Impräzision (pCVA) und kombinierte Messunsicherheit (pU%) für einen bestimmten Messwert (x</t>
    </r>
    <r>
      <rPr>
        <b/>
        <vertAlign val="subscript"/>
        <sz val="14"/>
        <color theme="1"/>
        <rFont val="Arial"/>
        <family val="2"/>
      </rPr>
      <t>i</t>
    </r>
    <r>
      <rPr>
        <b/>
        <sz val="14"/>
        <color theme="1"/>
        <rFont val="Arial"/>
        <family val="2"/>
      </rPr>
      <t>). Vergleich des aktuellen Vorschlags mit den Angaben der RiliBÄK.</t>
    </r>
  </si>
  <si>
    <t xml:space="preserve">Alpha-Fetoprotein (2).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</si>
</sst>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b/>
      <vertAlign val="subscript"/>
      <sz val="10"/>
      <color theme="1"/>
      <name val="Arial"/>
      <family val="2"/>
    </font>
    <font>
      <b/>
      <vertAlign val="subscript"/>
      <sz val="14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18" fillId="0" borderId="0" xfId="0" applyFont="1"/>
    <xf numFmtId="0" fontId="19" fillId="0" borderId="0" xfId="0" applyFont="1"/>
    <xf numFmtId="0" fontId="0" fillId="0" borderId="0" xfId="0"/>
    <xf numFmtId="0" fontId="20" fillId="0" borderId="0" xfId="0" applyFont="1"/>
    <xf numFmtId="0" fontId="23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right" wrapText="1"/>
    </xf>
    <xf numFmtId="0" fontId="20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1" fontId="20" fillId="0" borderId="0" xfId="0" applyNumberFormat="1" applyFont="1" applyAlignment="1" applyProtection="1">
      <alignment horizontal="right"/>
      <protection locked="0"/>
    </xf>
    <xf numFmtId="2" fontId="2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22" fillId="0" borderId="0" xfId="0" applyNumberFormat="1" applyFont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6" fillId="0" borderId="0" xfId="0" applyFont="1"/>
    <xf numFmtId="2" fontId="25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2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4" fillId="0" borderId="0" xfId="0" applyFont="1"/>
    <xf numFmtId="2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2" fontId="19" fillId="0" borderId="0" xfId="0" applyNumberFormat="1" applyFont="1"/>
    <xf numFmtId="2" fontId="19" fillId="35" borderId="0" xfId="0" applyNumberFormat="1" applyFont="1" applyFill="1"/>
    <xf numFmtId="2" fontId="24" fillId="0" borderId="0" xfId="0" applyNumberFormat="1" applyFont="1"/>
    <xf numFmtId="164" fontId="19" fillId="0" borderId="0" xfId="0" applyNumberFormat="1" applyFont="1"/>
    <xf numFmtId="2" fontId="19" fillId="34" borderId="0" xfId="0" applyNumberFormat="1" applyFont="1" applyFill="1"/>
    <xf numFmtId="164" fontId="19" fillId="34" borderId="0" xfId="0" applyNumberFormat="1" applyFont="1" applyFill="1"/>
    <xf numFmtId="0" fontId="25" fillId="0" borderId="0" xfId="0" applyFont="1"/>
    <xf numFmtId="2" fontId="25" fillId="0" borderId="0" xfId="0" applyNumberFormat="1" applyFont="1"/>
    <xf numFmtId="164" fontId="25" fillId="0" borderId="0" xfId="0" applyNumberFormat="1" applyFont="1"/>
    <xf numFmtId="0" fontId="23" fillId="36" borderId="0" xfId="0" applyFont="1" applyFill="1"/>
    <xf numFmtId="0" fontId="24" fillId="36" borderId="0" xfId="0" applyFont="1" applyFill="1"/>
    <xf numFmtId="165" fontId="23" fillId="36" borderId="0" xfId="0" applyNumberFormat="1" applyFont="1" applyFill="1"/>
    <xf numFmtId="2" fontId="23" fillId="36" borderId="0" xfId="0" applyNumberFormat="1" applyFont="1" applyFill="1"/>
    <xf numFmtId="0" fontId="0" fillId="36" borderId="0" xfId="0" applyFill="1"/>
    <xf numFmtId="165" fontId="0" fillId="36" borderId="0" xfId="0" applyNumberFormat="1" applyFill="1"/>
    <xf numFmtId="2" fontId="0" fillId="36" borderId="0" xfId="0" applyNumberFormat="1" applyFill="1"/>
    <xf numFmtId="0" fontId="19" fillId="36" borderId="0" xfId="0" applyFont="1" applyFill="1" applyAlignment="1">
      <alignment horizontal="center" vertical="center"/>
    </xf>
    <xf numFmtId="165" fontId="19" fillId="36" borderId="0" xfId="0" applyNumberFormat="1" applyFont="1" applyFill="1" applyAlignment="1">
      <alignment horizontal="center" vertical="center"/>
    </xf>
    <xf numFmtId="2" fontId="19" fillId="36" borderId="0" xfId="0" applyNumberFormat="1" applyFont="1" applyFill="1" applyAlignment="1">
      <alignment horizontal="center" vertical="center"/>
    </xf>
    <xf numFmtId="0" fontId="19" fillId="36" borderId="0" xfId="0" applyFont="1" applyFill="1" applyAlignment="1">
      <alignment horizontal="right"/>
    </xf>
    <xf numFmtId="2" fontId="19" fillId="36" borderId="0" xfId="0" applyNumberFormat="1" applyFont="1" applyFill="1" applyAlignment="1">
      <alignment horizontal="right" wrapText="1"/>
    </xf>
    <xf numFmtId="165" fontId="19" fillId="36" borderId="0" xfId="0" applyNumberFormat="1" applyFont="1" applyFill="1" applyAlignment="1">
      <alignment horizontal="right"/>
    </xf>
    <xf numFmtId="2" fontId="19" fillId="36" borderId="0" xfId="0" applyNumberFormat="1" applyFont="1" applyFill="1" applyAlignment="1">
      <alignment horizontal="right"/>
    </xf>
    <xf numFmtId="0" fontId="18" fillId="36" borderId="0" xfId="0" applyFont="1" applyFill="1" applyAlignment="1">
      <alignment horizontal="right"/>
    </xf>
    <xf numFmtId="0" fontId="26" fillId="36" borderId="0" xfId="0" applyFont="1" applyFill="1"/>
    <xf numFmtId="165" fontId="26" fillId="36" borderId="0" xfId="0" applyNumberFormat="1" applyFont="1" applyFill="1"/>
    <xf numFmtId="2" fontId="26" fillId="36" borderId="0" xfId="0" applyNumberFormat="1" applyFont="1" applyFill="1"/>
    <xf numFmtId="0" fontId="18" fillId="36" borderId="0" xfId="0" applyFont="1" applyFill="1"/>
    <xf numFmtId="165" fontId="18" fillId="36" borderId="0" xfId="0" applyNumberFormat="1" applyFont="1" applyFill="1"/>
    <xf numFmtId="2" fontId="18" fillId="36" borderId="0" xfId="0" applyNumberFormat="1" applyFont="1" applyFill="1"/>
    <xf numFmtId="2" fontId="19" fillId="37" borderId="0" xfId="0" applyNumberFormat="1" applyFont="1" applyFill="1"/>
    <xf numFmtId="0" fontId="0" fillId="38" borderId="0" xfId="0" applyFill="1"/>
    <xf numFmtId="0" fontId="19" fillId="38" borderId="0" xfId="0" applyFont="1" applyFill="1" applyAlignment="1">
      <alignment horizontal="center" vertical="center"/>
    </xf>
    <xf numFmtId="0" fontId="19" fillId="38" borderId="0" xfId="0" applyFont="1" applyFill="1" applyAlignment="1">
      <alignment horizontal="right"/>
    </xf>
    <xf numFmtId="0" fontId="23" fillId="38" borderId="0" xfId="0" applyFont="1" applyFill="1"/>
    <xf numFmtId="0" fontId="26" fillId="38" borderId="0" xfId="0" applyFont="1" applyFill="1"/>
    <xf numFmtId="0" fontId="18" fillId="38" borderId="0" xfId="0" applyFont="1" applyFill="1"/>
    <xf numFmtId="0" fontId="30" fillId="0" borderId="0" xfId="0" applyFont="1"/>
    <xf numFmtId="0" fontId="29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center" wrapText="1"/>
    </xf>
    <xf numFmtId="0" fontId="31" fillId="0" borderId="0" xfId="0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0" applyFont="1"/>
    <xf numFmtId="1" fontId="31" fillId="0" borderId="0" xfId="0" applyNumberFormat="1" applyFont="1" applyProtection="1">
      <protection locked="0"/>
    </xf>
    <xf numFmtId="0" fontId="31" fillId="0" borderId="0" xfId="0" applyFont="1" applyFill="1"/>
    <xf numFmtId="0" fontId="33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0" fontId="29" fillId="0" borderId="0" xfId="0" applyFont="1" applyProtection="1">
      <protection locked="0"/>
    </xf>
    <xf numFmtId="0" fontId="29" fillId="33" borderId="0" xfId="0" applyFont="1" applyFill="1" applyProtection="1">
      <protection locked="0"/>
    </xf>
    <xf numFmtId="0" fontId="29" fillId="33" borderId="0" xfId="0" applyFont="1" applyFill="1" applyAlignment="1" applyProtection="1">
      <alignment horizontal="right"/>
      <protection locked="0"/>
    </xf>
    <xf numFmtId="0" fontId="35" fillId="33" borderId="0" xfId="0" applyFont="1" applyFill="1" applyProtection="1">
      <protection locked="0"/>
    </xf>
    <xf numFmtId="0" fontId="29" fillId="33" borderId="0" xfId="0" applyFont="1" applyFill="1" applyAlignment="1">
      <alignment horizontal="right"/>
    </xf>
    <xf numFmtId="2" fontId="29" fillId="33" borderId="0" xfId="0" applyNumberFormat="1" applyFont="1" applyFill="1" applyProtection="1">
      <protection locked="0"/>
    </xf>
    <xf numFmtId="2" fontId="29" fillId="33" borderId="0" xfId="0" applyNumberFormat="1" applyFont="1" applyFill="1" applyAlignment="1" applyProtection="1">
      <alignment horizontal="right"/>
      <protection locked="0"/>
    </xf>
    <xf numFmtId="0" fontId="29" fillId="33" borderId="0" xfId="0" applyFont="1" applyFill="1"/>
    <xf numFmtId="0" fontId="31" fillId="33" borderId="0" xfId="0" applyFont="1" applyFill="1"/>
    <xf numFmtId="0" fontId="35" fillId="33" borderId="0" xfId="0" applyFont="1" applyFill="1" applyAlignment="1">
      <alignment horizontal="right"/>
    </xf>
    <xf numFmtId="164" fontId="29" fillId="33" borderId="0" xfId="0" applyNumberFormat="1" applyFont="1" applyFill="1" applyAlignment="1">
      <alignment horizontal="right"/>
    </xf>
    <xf numFmtId="0" fontId="36" fillId="0" borderId="0" xfId="0" applyFont="1"/>
    <xf numFmtId="2" fontId="31" fillId="0" borderId="0" xfId="0" applyNumberFormat="1" applyFont="1" applyAlignment="1">
      <alignment horizontal="right" wrapText="1"/>
    </xf>
    <xf numFmtId="1" fontId="29" fillId="33" borderId="0" xfId="0" applyNumberFormat="1" applyFont="1" applyFill="1" applyProtection="1">
      <protection locked="0"/>
    </xf>
    <xf numFmtId="0" fontId="29" fillId="37" borderId="0" xfId="0" applyFont="1" applyFill="1"/>
    <xf numFmtId="164" fontId="29" fillId="33" borderId="0" xfId="0" applyNumberFormat="1" applyFont="1" applyFill="1" applyProtection="1">
      <protection locked="0"/>
    </xf>
    <xf numFmtId="0" fontId="29" fillId="33" borderId="0" xfId="0" applyFont="1" applyFill="1" applyProtection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2" fontId="29" fillId="0" borderId="0" xfId="0" applyNumberFormat="1" applyFont="1" applyAlignment="1">
      <alignment horizontal="right" wrapText="1"/>
    </xf>
    <xf numFmtId="0" fontId="29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/>
      <protection locked="0"/>
    </xf>
    <xf numFmtId="1" fontId="29" fillId="0" borderId="0" xfId="0" applyNumberFormat="1" applyFont="1" applyAlignment="1" applyProtection="1">
      <alignment horizontal="right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2" fontId="36" fillId="0" borderId="0" xfId="0" applyNumberFormat="1" applyFont="1" applyAlignment="1" applyProtection="1">
      <alignment horizontal="right"/>
      <protection locked="0"/>
    </xf>
    <xf numFmtId="164" fontId="29" fillId="0" borderId="0" xfId="0" applyNumberFormat="1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" fontId="19" fillId="0" borderId="0" xfId="0" applyNumberFormat="1" applyFont="1" applyFill="1"/>
    <xf numFmtId="164" fontId="19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165" fontId="0" fillId="0" borderId="0" xfId="0" applyNumberFormat="1" applyFill="1"/>
    <xf numFmtId="0" fontId="18" fillId="0" borderId="0" xfId="0" applyFont="1" applyFill="1"/>
    <xf numFmtId="0" fontId="31" fillId="39" borderId="0" xfId="0" applyFont="1" applyFill="1" applyProtection="1">
      <protection locked="0"/>
    </xf>
    <xf numFmtId="0" fontId="24" fillId="39" borderId="0" xfId="0" applyFont="1" applyFill="1"/>
    <xf numFmtId="0" fontId="0" fillId="39" borderId="0" xfId="0" applyFill="1" applyAlignment="1">
      <alignment horizontal="right"/>
    </xf>
    <xf numFmtId="164" fontId="20" fillId="39" borderId="0" xfId="0" applyNumberFormat="1" applyFont="1" applyFill="1"/>
    <xf numFmtId="164" fontId="18" fillId="39" borderId="0" xfId="0" applyNumberFormat="1" applyFont="1" applyFill="1"/>
    <xf numFmtId="164" fontId="19" fillId="39" borderId="0" xfId="0" applyNumberFormat="1" applyFont="1" applyFill="1" applyAlignment="1">
      <alignment horizontal="center" vertical="center"/>
    </xf>
    <xf numFmtId="2" fontId="19" fillId="39" borderId="0" xfId="0" applyNumberFormat="1" applyFont="1" applyFill="1" applyAlignment="1">
      <alignment horizontal="right" wrapText="1"/>
    </xf>
    <xf numFmtId="164" fontId="19" fillId="39" borderId="0" xfId="0" applyNumberFormat="1" applyFont="1" applyFill="1" applyAlignment="1">
      <alignment horizontal="right"/>
    </xf>
    <xf numFmtId="2" fontId="20" fillId="39" borderId="0" xfId="0" applyNumberFormat="1" applyFont="1" applyFill="1" applyAlignment="1">
      <alignment horizontal="center" wrapText="1"/>
    </xf>
    <xf numFmtId="164" fontId="20" fillId="39" borderId="0" xfId="0" applyNumberFormat="1" applyFont="1" applyFill="1" applyAlignment="1">
      <alignment horizontal="right"/>
    </xf>
    <xf numFmtId="164" fontId="0" fillId="39" borderId="0" xfId="0" applyNumberFormat="1" applyFill="1" applyAlignment="1">
      <alignment horizontal="right"/>
    </xf>
    <xf numFmtId="2" fontId="0" fillId="39" borderId="0" xfId="0" applyNumberFormat="1" applyFill="1" applyAlignment="1">
      <alignment horizontal="right"/>
    </xf>
    <xf numFmtId="2" fontId="27" fillId="39" borderId="0" xfId="0" applyNumberFormat="1" applyFont="1" applyFill="1" applyAlignment="1">
      <alignment horizontal="right"/>
    </xf>
    <xf numFmtId="164" fontId="18" fillId="39" borderId="0" xfId="0" applyNumberFormat="1" applyFont="1" applyFill="1" applyAlignment="1">
      <alignment horizontal="right"/>
    </xf>
    <xf numFmtId="0" fontId="0" fillId="39" borderId="0" xfId="0" applyFill="1"/>
    <xf numFmtId="0" fontId="20" fillId="39" borderId="0" xfId="0" applyFont="1" applyFill="1" applyAlignment="1">
      <alignment horizontal="right"/>
    </xf>
    <xf numFmtId="0" fontId="20" fillId="39" borderId="0" xfId="0" applyFont="1" applyFill="1"/>
    <xf numFmtId="164" fontId="27" fillId="39" borderId="0" xfId="0" applyNumberFormat="1" applyFont="1" applyFill="1" applyAlignment="1">
      <alignment horizontal="right"/>
    </xf>
    <xf numFmtId="164" fontId="27" fillId="39" borderId="0" xfId="0" applyNumberFormat="1" applyFont="1" applyFill="1"/>
    <xf numFmtId="2" fontId="20" fillId="39" borderId="0" xfId="0" applyNumberFormat="1" applyFont="1" applyFill="1" applyAlignment="1">
      <alignment horizontal="right"/>
    </xf>
    <xf numFmtId="165" fontId="0" fillId="39" borderId="0" xfId="0" applyNumberFormat="1" applyFill="1" applyAlignment="1">
      <alignment horizontal="right"/>
    </xf>
    <xf numFmtId="0" fontId="26" fillId="39" borderId="0" xfId="0" applyFont="1" applyFill="1" applyAlignment="1">
      <alignment horizontal="right"/>
    </xf>
    <xf numFmtId="164" fontId="26" fillId="39" borderId="0" xfId="0" applyNumberFormat="1" applyFont="1" applyFill="1"/>
    <xf numFmtId="164" fontId="0" fillId="39" borderId="0" xfId="0" applyNumberFormat="1" applyFill="1"/>
    <xf numFmtId="2" fontId="20" fillId="39" borderId="0" xfId="0" applyNumberFormat="1" applyFont="1" applyFill="1"/>
    <xf numFmtId="0" fontId="18" fillId="39" borderId="0" xfId="0" applyFont="1" applyFill="1" applyAlignment="1">
      <alignment horizontal="right"/>
    </xf>
    <xf numFmtId="2" fontId="29" fillId="33" borderId="0" xfId="0" quotePrefix="1" applyNumberFormat="1" applyFont="1" applyFill="1" applyAlignment="1" applyProtection="1">
      <alignment horizontal="right"/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38100</xdr:colOff>
      <xdr:row>0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16318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45</xdr:col>
      <xdr:colOff>464820</xdr:colOff>
      <xdr:row>0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60659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48</xdr:col>
      <xdr:colOff>541020</xdr:colOff>
      <xdr:row>0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4281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44</xdr:col>
      <xdr:colOff>563880</xdr:colOff>
      <xdr:row>0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5447792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52</xdr:col>
      <xdr:colOff>160020</xdr:colOff>
      <xdr:row>0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10951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showGridLines="0" workbookViewId="0">
      <selection activeCell="M58" sqref="M55:N58"/>
    </sheetView>
  </sheetViews>
  <sheetFormatPr baseColWidth="10" defaultRowHeight="12.75" x14ac:dyDescent="0.2"/>
  <sheetData>
    <row r="1" spans="1:23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</row>
    <row r="5" spans="1:23" x14ac:dyDescent="0.2">
      <c r="A5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t="s">
        <v>141</v>
      </c>
      <c r="N5" s="3"/>
      <c r="O5" s="3"/>
      <c r="P5" s="2"/>
      <c r="Q5" s="2"/>
      <c r="R5" s="2"/>
      <c r="S5" s="2"/>
      <c r="T5" s="2"/>
      <c r="U5" s="2"/>
      <c r="V5" s="2"/>
      <c r="W5" s="2"/>
    </row>
    <row r="6" spans="1:23" x14ac:dyDescent="0.2">
      <c r="A6" t="s">
        <v>146</v>
      </c>
      <c r="B6" s="3"/>
      <c r="C6" s="3"/>
      <c r="D6" s="3"/>
      <c r="E6" s="3"/>
      <c r="F6" s="3"/>
      <c r="G6" s="3"/>
      <c r="H6" s="3"/>
      <c r="I6" s="3"/>
      <c r="J6" s="3"/>
      <c r="K6" s="3"/>
      <c r="N6" s="3"/>
      <c r="O6" s="3"/>
      <c r="P6" s="2"/>
      <c r="Q6" s="2"/>
      <c r="R6" s="2"/>
      <c r="S6" s="2"/>
      <c r="T6" s="2"/>
      <c r="U6" s="2"/>
      <c r="V6" s="2"/>
      <c r="W6" s="2"/>
    </row>
    <row r="7" spans="1:23" x14ac:dyDescent="0.2">
      <c r="A7" t="s">
        <v>147</v>
      </c>
      <c r="B7" s="3"/>
      <c r="C7" s="3"/>
      <c r="D7" s="3"/>
      <c r="E7" s="3"/>
      <c r="F7" s="3"/>
      <c r="G7" s="3"/>
      <c r="H7" s="3"/>
      <c r="I7" s="3"/>
      <c r="J7" s="3"/>
      <c r="K7" s="3"/>
      <c r="N7" s="3"/>
      <c r="O7" s="3"/>
      <c r="P7" s="2"/>
      <c r="Q7" s="2"/>
      <c r="R7" s="2"/>
      <c r="S7" s="2"/>
      <c r="T7" s="2"/>
      <c r="U7" s="2"/>
      <c r="V7" s="2"/>
      <c r="W7" s="2"/>
    </row>
    <row r="8" spans="1:23" x14ac:dyDescent="0.2">
      <c r="A8" s="2" t="s">
        <v>81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">
      <c r="A9" s="2" t="s">
        <v>80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 t="s">
        <v>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">
      <c r="A11" s="3" t="s">
        <v>79</v>
      </c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t="s">
        <v>142</v>
      </c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" customFormat="1" x14ac:dyDescent="0.2">
      <c r="A13" t="s">
        <v>116</v>
      </c>
    </row>
    <row r="14" spans="1:23" x14ac:dyDescent="0.2">
      <c r="A14" t="s">
        <v>103</v>
      </c>
      <c r="B14" s="2"/>
    </row>
    <row r="15" spans="1:23" x14ac:dyDescent="0.2">
      <c r="A15" t="s">
        <v>104</v>
      </c>
    </row>
    <row r="16" spans="1:23" x14ac:dyDescent="0.2">
      <c r="A16" t="s">
        <v>105</v>
      </c>
      <c r="O16" t="s">
        <v>233</v>
      </c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0" spans="1:1" x14ac:dyDescent="0.2">
      <c r="A20" t="s">
        <v>109</v>
      </c>
    </row>
    <row r="21" spans="1:1" x14ac:dyDescent="0.2">
      <c r="A21" t="s">
        <v>110</v>
      </c>
    </row>
    <row r="22" spans="1:1" x14ac:dyDescent="0.2">
      <c r="A22" t="s">
        <v>143</v>
      </c>
    </row>
    <row r="23" spans="1:1" x14ac:dyDescent="0.2">
      <c r="A23" t="s">
        <v>111</v>
      </c>
    </row>
    <row r="24" spans="1:1" x14ac:dyDescent="0.2">
      <c r="A24" t="s">
        <v>112</v>
      </c>
    </row>
    <row r="25" spans="1:1" x14ac:dyDescent="0.2">
      <c r="A25" t="s">
        <v>113</v>
      </c>
    </row>
    <row r="26" spans="1:1" x14ac:dyDescent="0.2">
      <c r="A26" t="s">
        <v>114</v>
      </c>
    </row>
    <row r="27" spans="1:1" x14ac:dyDescent="0.2">
      <c r="A27" t="s">
        <v>115</v>
      </c>
    </row>
  </sheetData>
  <pageMargins left="0.79" right="0.79" top="0.98" bottom="0.98" header="0.49" footer="0.49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L143"/>
  <sheetViews>
    <sheetView tabSelected="1" zoomScaleNormal="100" workbookViewId="0">
      <selection activeCell="N1" sqref="N1"/>
    </sheetView>
  </sheetViews>
  <sheetFormatPr baseColWidth="10" defaultRowHeight="12.75" x14ac:dyDescent="0.2"/>
  <cols>
    <col min="1" max="1" width="42.42578125" style="70" customWidth="1"/>
    <col min="2" max="2" width="7.85546875" style="70" customWidth="1"/>
    <col min="3" max="3" width="8" style="70" customWidth="1"/>
    <col min="4" max="4" width="15.140625" style="70" customWidth="1"/>
    <col min="5" max="5" width="10.42578125" style="99" hidden="1" customWidth="1"/>
    <col min="6" max="6" width="14.28515625" style="5" hidden="1" customWidth="1"/>
    <col min="7" max="7" width="10.85546875" style="1" hidden="1" customWidth="1"/>
    <col min="8" max="8" width="9.28515625" style="32" hidden="1" customWidth="1"/>
    <col min="9" max="9" width="10.85546875" style="35" hidden="1" customWidth="1"/>
    <col min="10" max="10" width="11.85546875" style="32" customWidth="1"/>
    <col min="11" max="11" width="11.85546875" style="143" customWidth="1"/>
    <col min="12" max="13" width="11.85546875" style="121" customWidth="1"/>
    <col min="14" max="15" width="11.7109375" style="121" customWidth="1"/>
    <col min="16" max="16" width="14" style="32" customWidth="1"/>
    <col min="17" max="17" width="14.42578125" style="32" customWidth="1"/>
    <col min="18" max="26" width="11.42578125" style="59"/>
    <col min="27" max="27" width="10.42578125" style="59" customWidth="1"/>
    <col min="28" max="28" width="11.140625" style="59" customWidth="1"/>
    <col min="29" max="29" width="11.85546875" style="59" customWidth="1"/>
    <col min="30" max="30" width="11.42578125" style="59" customWidth="1"/>
    <col min="31" max="31" width="13.85546875" style="59" customWidth="1"/>
    <col min="32" max="32" width="14.85546875" style="59" customWidth="1"/>
    <col min="33" max="33" width="15.42578125" style="59" customWidth="1"/>
    <col min="34" max="34" width="16.140625" style="59" customWidth="1"/>
    <col min="35" max="36" width="11.42578125" style="60"/>
    <col min="37" max="37" width="9" style="60" customWidth="1"/>
    <col min="38" max="40" width="11.42578125" style="60"/>
    <col min="41" max="41" width="13.7109375" style="60" customWidth="1"/>
    <col min="42" max="42" width="12" style="60" customWidth="1"/>
    <col min="43" max="43" width="11.42578125" style="60"/>
    <col min="44" max="44" width="12.7109375" style="60" customWidth="1"/>
    <col min="45" max="45" width="10.7109375" style="61" customWidth="1"/>
    <col min="46" max="46" width="11.42578125" style="68"/>
  </cols>
  <sheetData>
    <row r="1" spans="1:116" s="4" customFormat="1" ht="21" x14ac:dyDescent="0.35">
      <c r="A1" s="69" t="s">
        <v>99</v>
      </c>
      <c r="B1" s="69" t="s">
        <v>260</v>
      </c>
      <c r="C1" s="69"/>
      <c r="D1" s="69"/>
      <c r="E1" s="69"/>
      <c r="F1" s="29"/>
      <c r="G1" s="29"/>
      <c r="H1" s="29"/>
      <c r="I1" s="29"/>
      <c r="J1" s="34"/>
      <c r="K1" s="119"/>
      <c r="L1" s="119"/>
      <c r="M1" s="119"/>
      <c r="N1" s="119"/>
      <c r="O1" s="119"/>
      <c r="P1" s="29"/>
      <c r="Q1" s="29"/>
      <c r="R1" s="41"/>
      <c r="S1" s="41"/>
      <c r="T1" s="41"/>
      <c r="U1" s="42"/>
      <c r="V1" s="42"/>
      <c r="W1" s="42"/>
      <c r="X1" s="42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66"/>
    </row>
    <row r="2" spans="1:116" x14ac:dyDescent="0.2">
      <c r="F2" s="6"/>
      <c r="K2" s="120"/>
      <c r="O2" s="122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7"/>
      <c r="AT2" s="63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25" customFormat="1" x14ac:dyDescent="0.2">
      <c r="A3" s="71" t="s">
        <v>96</v>
      </c>
      <c r="B3" s="71"/>
      <c r="C3" s="71"/>
      <c r="D3" s="71"/>
      <c r="E3" s="100"/>
      <c r="F3" s="26"/>
      <c r="H3" s="27"/>
      <c r="I3" s="28"/>
      <c r="J3" s="27"/>
      <c r="K3" s="123" t="s">
        <v>181</v>
      </c>
      <c r="L3" s="123" t="s">
        <v>3</v>
      </c>
      <c r="M3" s="123" t="s">
        <v>3</v>
      </c>
      <c r="N3" s="123" t="s">
        <v>183</v>
      </c>
      <c r="O3" s="123" t="s">
        <v>183</v>
      </c>
      <c r="P3" s="27"/>
      <c r="Q3" s="27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50"/>
      <c r="AT3" s="64"/>
    </row>
    <row r="4" spans="1:116" s="7" customFormat="1" ht="27.75" x14ac:dyDescent="0.25">
      <c r="A4" s="72"/>
      <c r="B4" s="72" t="s">
        <v>252</v>
      </c>
      <c r="C4" s="94" t="s">
        <v>253</v>
      </c>
      <c r="D4" s="72" t="s">
        <v>254</v>
      </c>
      <c r="E4" s="94" t="s">
        <v>4</v>
      </c>
      <c r="F4" s="24" t="s">
        <v>182</v>
      </c>
      <c r="G4" s="8" t="s">
        <v>148</v>
      </c>
      <c r="H4" s="10" t="s">
        <v>177</v>
      </c>
      <c r="I4" s="9" t="s">
        <v>178</v>
      </c>
      <c r="J4" s="8" t="s">
        <v>180</v>
      </c>
      <c r="K4" s="124" t="s">
        <v>149</v>
      </c>
      <c r="L4" s="125" t="s">
        <v>179</v>
      </c>
      <c r="M4" s="125" t="s">
        <v>5</v>
      </c>
      <c r="N4" s="125" t="s">
        <v>186</v>
      </c>
      <c r="O4" s="125" t="s">
        <v>5</v>
      </c>
      <c r="P4" s="8" t="s">
        <v>125</v>
      </c>
      <c r="Q4" s="8" t="s">
        <v>126</v>
      </c>
      <c r="R4" s="48" t="s">
        <v>97</v>
      </c>
      <c r="S4" s="48" t="s">
        <v>98</v>
      </c>
      <c r="T4" s="48" t="s">
        <v>149</v>
      </c>
      <c r="U4" s="48" t="s">
        <v>100</v>
      </c>
      <c r="V4" s="48" t="s">
        <v>150</v>
      </c>
      <c r="W4" s="48" t="s">
        <v>101</v>
      </c>
      <c r="X4" s="48" t="s">
        <v>118</v>
      </c>
      <c r="Y4" s="48" t="s">
        <v>102</v>
      </c>
      <c r="Z4" s="48"/>
      <c r="AA4" s="51" t="s">
        <v>127</v>
      </c>
      <c r="AB4" s="51" t="s">
        <v>128</v>
      </c>
      <c r="AC4" s="52" t="s">
        <v>151</v>
      </c>
      <c r="AD4" s="52" t="s">
        <v>122</v>
      </c>
      <c r="AE4" s="51" t="s">
        <v>123</v>
      </c>
      <c r="AF4" s="51" t="s">
        <v>124</v>
      </c>
      <c r="AG4" s="51" t="s">
        <v>125</v>
      </c>
      <c r="AH4" s="51" t="s">
        <v>126</v>
      </c>
      <c r="AI4" s="53" t="s">
        <v>137</v>
      </c>
      <c r="AJ4" s="53" t="s">
        <v>152</v>
      </c>
      <c r="AK4" s="53" t="s">
        <v>138</v>
      </c>
      <c r="AL4" s="53" t="s">
        <v>129</v>
      </c>
      <c r="AM4" s="53" t="s">
        <v>130</v>
      </c>
      <c r="AN4" s="53" t="s">
        <v>131</v>
      </c>
      <c r="AO4" s="53" t="s">
        <v>132</v>
      </c>
      <c r="AP4" s="53" t="s">
        <v>133</v>
      </c>
      <c r="AQ4" s="53" t="s">
        <v>134</v>
      </c>
      <c r="AR4" s="53" t="s">
        <v>135</v>
      </c>
      <c r="AS4" s="54" t="s">
        <v>136</v>
      </c>
      <c r="AT4" s="65" t="s">
        <v>139</v>
      </c>
    </row>
    <row r="5" spans="1:116" x14ac:dyDescent="0.2">
      <c r="A5" s="73" t="s">
        <v>6</v>
      </c>
      <c r="B5" s="82"/>
      <c r="C5" s="82"/>
      <c r="D5" s="82"/>
      <c r="E5" s="101"/>
      <c r="F5" s="12"/>
      <c r="K5" s="126"/>
      <c r="L5" s="127"/>
      <c r="R5" s="51"/>
      <c r="S5" s="51"/>
      <c r="T5" s="55" t="s">
        <v>117</v>
      </c>
      <c r="U5" s="54"/>
      <c r="V5" s="54"/>
      <c r="W5" s="54"/>
      <c r="X5" s="54"/>
      <c r="Y5" s="51"/>
      <c r="Z5" s="51"/>
      <c r="AA5" s="51"/>
      <c r="AB5" s="45"/>
      <c r="AC5" s="45"/>
      <c r="AD5" s="45"/>
      <c r="AE5" s="45"/>
      <c r="AF5" s="45"/>
      <c r="AG5" s="45"/>
      <c r="AH5" s="45"/>
      <c r="AI5" s="46" t="s">
        <v>144</v>
      </c>
      <c r="AJ5" s="46"/>
      <c r="AK5" s="46"/>
      <c r="AL5" s="46"/>
      <c r="AM5" s="46"/>
      <c r="AN5" s="46"/>
      <c r="AO5" s="46"/>
      <c r="AP5" s="46"/>
      <c r="AQ5" s="46"/>
      <c r="AR5" s="46"/>
      <c r="AS5" s="47"/>
      <c r="AT5" s="6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x14ac:dyDescent="0.2">
      <c r="A6" s="74" t="s">
        <v>187</v>
      </c>
      <c r="B6" s="83">
        <v>63</v>
      </c>
      <c r="C6" s="89">
        <v>150</v>
      </c>
      <c r="D6" s="98">
        <f>(B6+C6)/2</f>
        <v>106.5</v>
      </c>
      <c r="E6" s="99" t="s">
        <v>13</v>
      </c>
      <c r="F6" s="11"/>
      <c r="G6" s="36"/>
      <c r="H6" s="36"/>
      <c r="I6" s="37"/>
      <c r="J6" s="62">
        <f t="shared" ref="J6:J8" si="0">AT6</f>
        <v>0</v>
      </c>
      <c r="K6" s="128"/>
      <c r="L6" s="127"/>
      <c r="N6" s="122">
        <v>25</v>
      </c>
      <c r="P6" s="33"/>
      <c r="Q6" s="33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7"/>
      <c r="AT6" s="6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x14ac:dyDescent="0.2">
      <c r="A7" s="74" t="s">
        <v>188</v>
      </c>
      <c r="B7" s="84">
        <v>25</v>
      </c>
      <c r="C7" s="86">
        <v>75</v>
      </c>
      <c r="D7" s="83">
        <v>50</v>
      </c>
      <c r="E7" s="99" t="s">
        <v>28</v>
      </c>
      <c r="F7" s="11"/>
      <c r="G7" s="36"/>
      <c r="H7" s="36"/>
      <c r="I7" s="37"/>
      <c r="J7" s="62">
        <f t="shared" si="0"/>
        <v>0</v>
      </c>
      <c r="K7" s="128"/>
      <c r="L7" s="127"/>
      <c r="N7" s="122">
        <v>25</v>
      </c>
      <c r="P7" s="33"/>
      <c r="Q7" s="33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7"/>
      <c r="AT7" s="63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</row>
    <row r="8" spans="1:116" x14ac:dyDescent="0.2">
      <c r="A8" s="74" t="s">
        <v>189</v>
      </c>
      <c r="B8" s="83">
        <v>44</v>
      </c>
      <c r="C8" s="89">
        <v>138</v>
      </c>
      <c r="D8" s="98">
        <f>B8+C8/2</f>
        <v>113</v>
      </c>
      <c r="E8" s="99" t="s">
        <v>231</v>
      </c>
      <c r="F8" s="11"/>
      <c r="G8" s="36"/>
      <c r="H8" s="36"/>
      <c r="I8" s="37"/>
      <c r="J8" s="62">
        <f t="shared" si="0"/>
        <v>0</v>
      </c>
      <c r="K8" s="128"/>
      <c r="L8" s="127"/>
      <c r="N8" s="122">
        <v>23</v>
      </c>
      <c r="P8" s="33"/>
      <c r="Q8" s="33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7"/>
      <c r="AT8" s="63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x14ac:dyDescent="0.2">
      <c r="A9" s="74" t="s">
        <v>222</v>
      </c>
      <c r="B9" s="83">
        <v>26</v>
      </c>
      <c r="C9" s="83">
        <v>36</v>
      </c>
      <c r="D9" s="83">
        <v>31</v>
      </c>
      <c r="E9" s="102" t="s">
        <v>7</v>
      </c>
      <c r="F9" s="13"/>
      <c r="G9" s="36">
        <f t="shared" ref="G9:G17" si="1">(X9*100)/D9</f>
        <v>2.8326185431824742</v>
      </c>
      <c r="H9" s="36">
        <f t="shared" ref="H9:H17" si="2">G9*2.39</f>
        <v>6.7699583182061138</v>
      </c>
      <c r="I9" s="37">
        <f t="shared" ref="I9:I17" si="3">H9*1.96</f>
        <v>13.269118303683983</v>
      </c>
      <c r="J9" s="62">
        <f t="shared" ref="J9:J18" si="4">AT9</f>
        <v>0.65560330853282611</v>
      </c>
      <c r="K9" s="128">
        <v>6</v>
      </c>
      <c r="L9" s="127">
        <v>10.5</v>
      </c>
      <c r="M9" s="121">
        <v>18</v>
      </c>
      <c r="N9" s="121">
        <v>10.5</v>
      </c>
      <c r="O9" s="121">
        <v>18</v>
      </c>
      <c r="P9" s="33">
        <v>34.729999999999997</v>
      </c>
      <c r="Q9" s="33">
        <v>37.270000000000003</v>
      </c>
      <c r="R9" s="45">
        <f t="shared" ref="R9:R18" si="5">(LN(C9)-LN(B9))/3.92</f>
        <v>8.3015918478221373E-2</v>
      </c>
      <c r="S9" s="45">
        <f t="shared" ref="S9:S18" si="6">100*(EXP(R9^2)-1)^0.5</f>
        <v>8.3159153058417807</v>
      </c>
      <c r="T9" s="45">
        <f t="shared" ref="T9:T18" si="7">(S9-0.25)^0.5</f>
        <v>2.8400555110493495</v>
      </c>
      <c r="U9" s="45">
        <f t="shared" ref="U9:U18" si="8">(B9*C9)^0.5</f>
        <v>30.594117081556711</v>
      </c>
      <c r="V9" s="45">
        <f t="shared" ref="V9:V18" si="9">T9*U9*0.01</f>
        <v>0.86888990823164181</v>
      </c>
      <c r="W9" s="45">
        <f t="shared" ref="W9:W18" si="10">(V9-0.2*V9)/U9</f>
        <v>2.2720444088394794E-2</v>
      </c>
      <c r="X9" s="45">
        <f t="shared" ref="X9:X18" si="11">(D9*W9)+(0.2*V9)</f>
        <v>0.87811174838656703</v>
      </c>
      <c r="Y9" s="45">
        <f t="shared" ref="Y9:Y18" si="12">(B9+C9)/2</f>
        <v>31</v>
      </c>
      <c r="Z9" s="45"/>
      <c r="AA9" s="45">
        <f t="shared" ref="AA9:AA18" si="13">(B9*W9)+(0.2*V9)</f>
        <v>0.76450952794459304</v>
      </c>
      <c r="AB9" s="45">
        <f t="shared" ref="AB9:AB18" si="14">(C9*W9)+(0.2*V9)</f>
        <v>0.99171396882854101</v>
      </c>
      <c r="AC9" s="45">
        <f t="shared" ref="AC9:AC72" si="15">ROUND(1.28*AA9,2)</f>
        <v>0.98</v>
      </c>
      <c r="AD9" s="45">
        <f t="shared" ref="AD9:AD72" si="16">ROUND(1.28*AB9,2)</f>
        <v>1.27</v>
      </c>
      <c r="AE9" s="45">
        <f t="shared" ref="AE9:AE72" si="17">B9-AC9</f>
        <v>25.02</v>
      </c>
      <c r="AF9" s="45">
        <f t="shared" ref="AF9:AF72" si="18">B9+AC9</f>
        <v>26.98</v>
      </c>
      <c r="AG9" s="45">
        <f t="shared" ref="AG9:AG72" si="19">C9-AD9</f>
        <v>34.729999999999997</v>
      </c>
      <c r="AH9" s="45">
        <f t="shared" ref="AH9:AH72" si="20">C9+AD9</f>
        <v>37.270000000000003</v>
      </c>
      <c r="AI9" s="46"/>
      <c r="AJ9" s="46">
        <f t="shared" ref="AJ9:AJ72" si="21">B9+AI9</f>
        <v>26</v>
      </c>
      <c r="AK9" s="46">
        <f t="shared" ref="AK9:AK72" si="22">C9+AI9</f>
        <v>36</v>
      </c>
      <c r="AL9" s="46">
        <f t="shared" ref="AL9:AL72" si="23">(LN(C9)+LN(B9))/2</f>
        <v>3.4208077382387962</v>
      </c>
      <c r="AM9" s="46">
        <f t="shared" ref="AM9:AM72" si="24">EXP(AL9+0.5*R9^2)</f>
        <v>30.699720784955041</v>
      </c>
      <c r="AN9" s="46">
        <f t="shared" ref="AN9:AN72" si="25">AM9*SQRT(EXP(R9^2)-1)</f>
        <v>2.5529627796067667</v>
      </c>
      <c r="AO9" s="46">
        <f t="shared" ref="AO9:AO72" si="26">SQRT(AN9^2+X9^2)</f>
        <v>2.6997590997553877</v>
      </c>
      <c r="AP9" s="46">
        <f t="shared" ref="AP9:AP72" si="27">LN(AM9)-0.5*AQ9^2</f>
        <v>3.4204016397738175</v>
      </c>
      <c r="AQ9" s="46">
        <f t="shared" ref="AQ9:AQ72" si="28">SQRT(LN(1+AO9^2/AM9^2))</f>
        <v>8.7771519587736033E-2</v>
      </c>
      <c r="AR9" s="46">
        <f t="shared" ref="AR9:AR72" si="29">100*(1-LOGNORMDIST(AK9,AL9,R9))</f>
        <v>2.4997895148220595</v>
      </c>
      <c r="AS9" s="47">
        <f t="shared" ref="AS9:AS72" si="30">100*(1-LOGNORMDIST(C9,AP9,AQ9))</f>
        <v>3.1553928233548856</v>
      </c>
      <c r="AT9" s="63">
        <f t="shared" ref="AT9:AT72" si="31">AS9-AR9</f>
        <v>0.65560330853282611</v>
      </c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</row>
    <row r="10" spans="1:116" ht="14.1" customHeight="1" x14ac:dyDescent="0.2">
      <c r="A10" s="74" t="s">
        <v>8</v>
      </c>
      <c r="B10" s="83">
        <v>35</v>
      </c>
      <c r="C10" s="83">
        <v>53</v>
      </c>
      <c r="D10" s="83">
        <v>53</v>
      </c>
      <c r="E10" s="102" t="s">
        <v>9</v>
      </c>
      <c r="F10" s="13" t="s">
        <v>82</v>
      </c>
      <c r="G10" s="36">
        <f t="shared" si="1"/>
        <v>3.098832908948657</v>
      </c>
      <c r="H10" s="36">
        <f t="shared" si="2"/>
        <v>7.4062106523872906</v>
      </c>
      <c r="I10" s="37">
        <f t="shared" si="3"/>
        <v>14.51617287867909</v>
      </c>
      <c r="J10" s="62">
        <f t="shared" si="4"/>
        <v>0.69617096451060068</v>
      </c>
      <c r="K10" s="128">
        <v>6</v>
      </c>
      <c r="L10" s="127">
        <v>12.5</v>
      </c>
      <c r="M10" s="121">
        <v>20</v>
      </c>
      <c r="N10" s="121">
        <v>12.5</v>
      </c>
      <c r="O10" s="121">
        <v>20</v>
      </c>
      <c r="P10" s="33">
        <v>50.9</v>
      </c>
      <c r="Q10" s="33">
        <v>55.1</v>
      </c>
      <c r="R10" s="45">
        <f t="shared" si="5"/>
        <v>0.10585302348538481</v>
      </c>
      <c r="S10" s="45">
        <f t="shared" si="6"/>
        <v>10.615023396937977</v>
      </c>
      <c r="T10" s="45">
        <f t="shared" si="7"/>
        <v>3.2194756400597253</v>
      </c>
      <c r="U10" s="45">
        <f t="shared" si="8"/>
        <v>43.069710934716056</v>
      </c>
      <c r="V10" s="45">
        <f t="shared" si="9"/>
        <v>1.3866188517873232</v>
      </c>
      <c r="W10" s="45">
        <f t="shared" si="10"/>
        <v>2.5755805120477801E-2</v>
      </c>
      <c r="X10" s="45">
        <f t="shared" si="11"/>
        <v>1.6423814417427882</v>
      </c>
      <c r="Y10" s="45">
        <f t="shared" si="12"/>
        <v>44</v>
      </c>
      <c r="Z10" s="45"/>
      <c r="AA10" s="45">
        <f t="shared" si="13"/>
        <v>1.1787769495741878</v>
      </c>
      <c r="AB10" s="45">
        <f t="shared" si="14"/>
        <v>1.6423814417427882</v>
      </c>
      <c r="AC10" s="45">
        <f t="shared" si="15"/>
        <v>1.51</v>
      </c>
      <c r="AD10" s="45">
        <f t="shared" si="16"/>
        <v>2.1</v>
      </c>
      <c r="AE10" s="45">
        <f t="shared" si="17"/>
        <v>33.49</v>
      </c>
      <c r="AF10" s="45">
        <f t="shared" si="18"/>
        <v>36.51</v>
      </c>
      <c r="AG10" s="45">
        <f t="shared" si="19"/>
        <v>50.9</v>
      </c>
      <c r="AH10" s="45">
        <f t="shared" si="20"/>
        <v>55.1</v>
      </c>
      <c r="AI10" s="46"/>
      <c r="AJ10" s="46">
        <f t="shared" si="21"/>
        <v>35</v>
      </c>
      <c r="AK10" s="46">
        <f t="shared" si="22"/>
        <v>53</v>
      </c>
      <c r="AL10" s="46">
        <f t="shared" si="23"/>
        <v>3.7628199875207677</v>
      </c>
      <c r="AM10" s="46">
        <f t="shared" si="24"/>
        <v>43.311683214562365</v>
      </c>
      <c r="AN10" s="46">
        <f t="shared" si="25"/>
        <v>4.5975453068334531</v>
      </c>
      <c r="AO10" s="46">
        <f t="shared" si="26"/>
        <v>4.882093777117297</v>
      </c>
      <c r="AP10" s="46">
        <f t="shared" si="27"/>
        <v>3.7621095381275138</v>
      </c>
      <c r="AQ10" s="46">
        <f t="shared" si="28"/>
        <v>0.11236441326107049</v>
      </c>
      <c r="AR10" s="46">
        <f t="shared" si="29"/>
        <v>2.4997895148220484</v>
      </c>
      <c r="AS10" s="47">
        <f t="shared" si="30"/>
        <v>3.195960479332649</v>
      </c>
      <c r="AT10" s="63">
        <f t="shared" si="31"/>
        <v>0.69617096451060068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s="3" customFormat="1" x14ac:dyDescent="0.2">
      <c r="A11" s="74" t="s">
        <v>12</v>
      </c>
      <c r="B11" s="83">
        <v>180</v>
      </c>
      <c r="C11" s="83">
        <v>790</v>
      </c>
      <c r="D11" s="83">
        <v>485</v>
      </c>
      <c r="E11" s="102" t="s">
        <v>13</v>
      </c>
      <c r="F11" s="13" t="s">
        <v>84</v>
      </c>
      <c r="G11" s="36">
        <f t="shared" si="1"/>
        <v>5.95678818044889</v>
      </c>
      <c r="H11" s="36">
        <f t="shared" si="2"/>
        <v>14.236723751272848</v>
      </c>
      <c r="I11" s="37">
        <f t="shared" si="3"/>
        <v>27.903978552494781</v>
      </c>
      <c r="J11" s="62">
        <f t="shared" si="4"/>
        <v>0.14292117566974127</v>
      </c>
      <c r="K11" s="129">
        <v>14</v>
      </c>
      <c r="L11" s="127"/>
      <c r="M11" s="121" t="s">
        <v>14</v>
      </c>
      <c r="N11" s="121">
        <v>25</v>
      </c>
      <c r="O11" s="121"/>
      <c r="P11" s="33">
        <v>733.55</v>
      </c>
      <c r="Q11" s="33">
        <v>846.45</v>
      </c>
      <c r="R11" s="45">
        <f t="shared" si="5"/>
        <v>0.37731533024766761</v>
      </c>
      <c r="S11" s="45">
        <f t="shared" si="6"/>
        <v>39.115158005238293</v>
      </c>
      <c r="T11" s="45">
        <f t="shared" si="7"/>
        <v>6.2341926506355492</v>
      </c>
      <c r="U11" s="45">
        <f t="shared" si="8"/>
        <v>377.09415269929605</v>
      </c>
      <c r="V11" s="45">
        <f t="shared" si="9"/>
        <v>23.508775953555912</v>
      </c>
      <c r="W11" s="45">
        <f t="shared" si="10"/>
        <v>4.9873541205084394E-2</v>
      </c>
      <c r="X11" s="45">
        <f t="shared" si="11"/>
        <v>28.890422675177113</v>
      </c>
      <c r="Y11" s="45">
        <f t="shared" si="12"/>
        <v>485</v>
      </c>
      <c r="Z11" s="45"/>
      <c r="AA11" s="45">
        <f t="shared" si="13"/>
        <v>13.678992607626373</v>
      </c>
      <c r="AB11" s="45">
        <f t="shared" si="14"/>
        <v>44.101852742727857</v>
      </c>
      <c r="AC11" s="45">
        <f t="shared" si="15"/>
        <v>17.510000000000002</v>
      </c>
      <c r="AD11" s="45">
        <f t="shared" si="16"/>
        <v>56.45</v>
      </c>
      <c r="AE11" s="45">
        <f t="shared" si="17"/>
        <v>162.49</v>
      </c>
      <c r="AF11" s="45">
        <f t="shared" si="18"/>
        <v>197.51</v>
      </c>
      <c r="AG11" s="45">
        <f t="shared" si="19"/>
        <v>733.55</v>
      </c>
      <c r="AH11" s="45">
        <f t="shared" si="20"/>
        <v>846.45</v>
      </c>
      <c r="AI11" s="46"/>
      <c r="AJ11" s="46">
        <f t="shared" si="21"/>
        <v>180</v>
      </c>
      <c r="AK11" s="46">
        <f t="shared" si="22"/>
        <v>790</v>
      </c>
      <c r="AL11" s="46">
        <f t="shared" si="23"/>
        <v>5.9324948981756389</v>
      </c>
      <c r="AM11" s="46">
        <f t="shared" si="24"/>
        <v>404.91546923983668</v>
      </c>
      <c r="AN11" s="46">
        <f t="shared" si="25"/>
        <v>158.38332558081419</v>
      </c>
      <c r="AO11" s="46">
        <f t="shared" si="26"/>
        <v>160.99669047650818</v>
      </c>
      <c r="AP11" s="46">
        <f t="shared" si="27"/>
        <v>5.9302921597443117</v>
      </c>
      <c r="AQ11" s="46">
        <f t="shared" si="28"/>
        <v>0.38310877737603638</v>
      </c>
      <c r="AR11" s="46">
        <f t="shared" si="29"/>
        <v>2.4997895148220484</v>
      </c>
      <c r="AS11" s="47">
        <f t="shared" si="30"/>
        <v>2.6427106904917896</v>
      </c>
      <c r="AT11" s="63">
        <f t="shared" si="31"/>
        <v>0.14292117566974127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</row>
    <row r="12" spans="1:116" ht="14.1" customHeight="1" x14ac:dyDescent="0.2">
      <c r="A12" s="74" t="s">
        <v>10</v>
      </c>
      <c r="B12" s="83">
        <v>30</v>
      </c>
      <c r="C12" s="83">
        <v>80</v>
      </c>
      <c r="D12" s="83">
        <v>55</v>
      </c>
      <c r="E12" s="102" t="s">
        <v>11</v>
      </c>
      <c r="F12" s="13" t="s">
        <v>83</v>
      </c>
      <c r="G12" s="36">
        <f t="shared" si="1"/>
        <v>4.9071218383918573</v>
      </c>
      <c r="H12" s="36">
        <f t="shared" si="2"/>
        <v>11.72802119375654</v>
      </c>
      <c r="I12" s="37">
        <f t="shared" si="3"/>
        <v>22.986921539762818</v>
      </c>
      <c r="J12" s="62">
        <f t="shared" si="4"/>
        <v>0.21376457655435388</v>
      </c>
      <c r="K12" s="129">
        <v>7</v>
      </c>
      <c r="L12" s="127">
        <v>13</v>
      </c>
      <c r="M12" s="121">
        <v>21</v>
      </c>
      <c r="N12" s="121">
        <v>11</v>
      </c>
      <c r="O12" s="121">
        <v>18</v>
      </c>
      <c r="P12" s="33">
        <v>75.260000000000005</v>
      </c>
      <c r="Q12" s="33">
        <v>84.74</v>
      </c>
      <c r="R12" s="45">
        <f t="shared" si="5"/>
        <v>0.25021154413564434</v>
      </c>
      <c r="S12" s="45">
        <f t="shared" si="6"/>
        <v>25.41792798301244</v>
      </c>
      <c r="T12" s="45">
        <f t="shared" si="7"/>
        <v>5.0167646928087466</v>
      </c>
      <c r="U12" s="45">
        <f t="shared" si="8"/>
        <v>48.989794855663561</v>
      </c>
      <c r="V12" s="45">
        <f t="shared" si="9"/>
        <v>2.4577027313983653</v>
      </c>
      <c r="W12" s="45">
        <f t="shared" si="10"/>
        <v>4.0134117542469969E-2</v>
      </c>
      <c r="X12" s="45">
        <f t="shared" si="11"/>
        <v>2.6989170111155216</v>
      </c>
      <c r="Y12" s="45">
        <f t="shared" si="12"/>
        <v>55</v>
      </c>
      <c r="Z12" s="45"/>
      <c r="AA12" s="45">
        <f t="shared" si="13"/>
        <v>1.6955640725537722</v>
      </c>
      <c r="AB12" s="45">
        <f t="shared" si="14"/>
        <v>3.7022699496772709</v>
      </c>
      <c r="AC12" s="45">
        <f t="shared" si="15"/>
        <v>2.17</v>
      </c>
      <c r="AD12" s="45">
        <f t="shared" si="16"/>
        <v>4.74</v>
      </c>
      <c r="AE12" s="45">
        <f t="shared" si="17"/>
        <v>27.83</v>
      </c>
      <c r="AF12" s="45">
        <f t="shared" si="18"/>
        <v>32.17</v>
      </c>
      <c r="AG12" s="45">
        <f t="shared" si="19"/>
        <v>75.260000000000005</v>
      </c>
      <c r="AH12" s="45">
        <f t="shared" si="20"/>
        <v>84.74</v>
      </c>
      <c r="AI12" s="46"/>
      <c r="AJ12" s="46">
        <f t="shared" si="21"/>
        <v>30</v>
      </c>
      <c r="AK12" s="46">
        <f t="shared" si="22"/>
        <v>80</v>
      </c>
      <c r="AL12" s="46">
        <f t="shared" si="23"/>
        <v>3.8916120081680186</v>
      </c>
      <c r="AM12" s="46">
        <f t="shared" si="24"/>
        <v>50.547572197959283</v>
      </c>
      <c r="AN12" s="46">
        <f t="shared" si="25"/>
        <v>12.848145498438509</v>
      </c>
      <c r="AO12" s="46">
        <f t="shared" si="26"/>
        <v>13.128556500313906</v>
      </c>
      <c r="AP12" s="46">
        <f t="shared" si="27"/>
        <v>3.8902748639257529</v>
      </c>
      <c r="AQ12" s="46">
        <f t="shared" si="28"/>
        <v>0.25549971683599809</v>
      </c>
      <c r="AR12" s="46">
        <f t="shared" si="29"/>
        <v>2.4997895148220484</v>
      </c>
      <c r="AS12" s="47">
        <f t="shared" si="30"/>
        <v>2.7135540913764022</v>
      </c>
      <c r="AT12" s="63">
        <f t="shared" si="31"/>
        <v>0.21376457655435388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</row>
    <row r="13" spans="1:116" x14ac:dyDescent="0.2">
      <c r="A13" s="74" t="s">
        <v>261</v>
      </c>
      <c r="B13" s="83">
        <v>0.9</v>
      </c>
      <c r="C13" s="83">
        <v>6</v>
      </c>
      <c r="D13" s="83">
        <v>3.45</v>
      </c>
      <c r="E13" s="103" t="s">
        <v>15</v>
      </c>
      <c r="F13" s="14"/>
      <c r="G13" s="36">
        <f t="shared" si="1"/>
        <v>6.6832240813543349</v>
      </c>
      <c r="H13" s="36">
        <f t="shared" si="2"/>
        <v>15.972905554436862</v>
      </c>
      <c r="I13" s="37">
        <f t="shared" si="3"/>
        <v>31.306894886696249</v>
      </c>
      <c r="J13" s="62">
        <f t="shared" si="4"/>
        <v>0.11279826455552477</v>
      </c>
      <c r="K13" s="130"/>
      <c r="L13" s="127">
        <v>17</v>
      </c>
      <c r="M13" s="121">
        <v>24</v>
      </c>
      <c r="N13" s="121">
        <v>17</v>
      </c>
      <c r="O13" s="121">
        <v>24</v>
      </c>
      <c r="P13" s="33">
        <v>5.52</v>
      </c>
      <c r="Q13" s="33">
        <v>6.48</v>
      </c>
      <c r="R13" s="45">
        <f t="shared" si="5"/>
        <v>0.48395917981782688</v>
      </c>
      <c r="S13" s="45">
        <f t="shared" si="6"/>
        <v>51.372958387566328</v>
      </c>
      <c r="T13" s="45">
        <f t="shared" si="7"/>
        <v>7.1500320550027139</v>
      </c>
      <c r="U13" s="45">
        <f t="shared" si="8"/>
        <v>2.3237900077244502</v>
      </c>
      <c r="V13" s="45">
        <f t="shared" si="9"/>
        <v>0.16615173044324824</v>
      </c>
      <c r="W13" s="45">
        <f t="shared" si="10"/>
        <v>5.7200256440021718E-2</v>
      </c>
      <c r="X13" s="45">
        <f t="shared" si="11"/>
        <v>0.23057123080672459</v>
      </c>
      <c r="Y13" s="45">
        <f t="shared" si="12"/>
        <v>3.45</v>
      </c>
      <c r="Z13" s="45"/>
      <c r="AA13" s="45">
        <f t="shared" si="13"/>
        <v>8.4710576884669209E-2</v>
      </c>
      <c r="AB13" s="45">
        <f t="shared" si="14"/>
        <v>0.37643188472877998</v>
      </c>
      <c r="AC13" s="45">
        <f t="shared" si="15"/>
        <v>0.11</v>
      </c>
      <c r="AD13" s="45">
        <f t="shared" si="16"/>
        <v>0.48</v>
      </c>
      <c r="AE13" s="45">
        <f t="shared" si="17"/>
        <v>0.79</v>
      </c>
      <c r="AF13" s="45">
        <f t="shared" si="18"/>
        <v>1.01</v>
      </c>
      <c r="AG13" s="45">
        <f t="shared" si="19"/>
        <v>5.52</v>
      </c>
      <c r="AH13" s="45">
        <f t="shared" si="20"/>
        <v>6.48</v>
      </c>
      <c r="AI13" s="46"/>
      <c r="AJ13" s="46">
        <f t="shared" si="21"/>
        <v>0.9</v>
      </c>
      <c r="AK13" s="46">
        <f t="shared" si="22"/>
        <v>6</v>
      </c>
      <c r="AL13" s="46">
        <f t="shared" si="23"/>
        <v>0.84319947678511431</v>
      </c>
      <c r="AM13" s="46">
        <f t="shared" si="24"/>
        <v>2.6125002700258109</v>
      </c>
      <c r="AN13" s="46">
        <f t="shared" si="25"/>
        <v>1.3421186765954176</v>
      </c>
      <c r="AO13" s="46">
        <f t="shared" si="26"/>
        <v>1.3617803180182784</v>
      </c>
      <c r="AP13" s="46">
        <f t="shared" si="27"/>
        <v>0.84012752913217237</v>
      </c>
      <c r="AQ13" s="46">
        <f t="shared" si="28"/>
        <v>0.49026562497877352</v>
      </c>
      <c r="AR13" s="46">
        <f t="shared" si="29"/>
        <v>2.4997895148220484</v>
      </c>
      <c r="AS13" s="47">
        <f t="shared" si="30"/>
        <v>2.6125877793775731</v>
      </c>
      <c r="AT13" s="63">
        <f t="shared" si="31"/>
        <v>0.11279826455552477</v>
      </c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</row>
    <row r="14" spans="1:116" x14ac:dyDescent="0.2">
      <c r="A14" s="74" t="s">
        <v>17</v>
      </c>
      <c r="B14" s="83">
        <v>10</v>
      </c>
      <c r="C14" s="95">
        <v>35</v>
      </c>
      <c r="D14" s="83">
        <v>22.5</v>
      </c>
      <c r="E14" s="104" t="s">
        <v>11</v>
      </c>
      <c r="F14" s="16" t="s">
        <v>83</v>
      </c>
      <c r="G14" s="36">
        <f t="shared" si="1"/>
        <v>5.5122812156341547</v>
      </c>
      <c r="H14" s="36">
        <f t="shared" si="2"/>
        <v>13.17435210536563</v>
      </c>
      <c r="I14" s="37">
        <f t="shared" si="3"/>
        <v>25.821730126516634</v>
      </c>
      <c r="J14" s="62">
        <f t="shared" si="4"/>
        <v>0.1678319264984296</v>
      </c>
      <c r="K14" s="128">
        <v>6</v>
      </c>
      <c r="L14" s="127">
        <v>11.5</v>
      </c>
      <c r="M14" s="121">
        <v>21</v>
      </c>
      <c r="N14" s="121">
        <v>11.5</v>
      </c>
      <c r="O14" s="121">
        <v>21</v>
      </c>
      <c r="P14" s="33">
        <v>32.68</v>
      </c>
      <c r="Q14" s="33">
        <v>37.32</v>
      </c>
      <c r="R14" s="45">
        <f t="shared" si="5"/>
        <v>0.31958238992228766</v>
      </c>
      <c r="S14" s="45">
        <f t="shared" si="6"/>
        <v>32.791867458915682</v>
      </c>
      <c r="T14" s="45">
        <f t="shared" si="7"/>
        <v>5.7045479627149849</v>
      </c>
      <c r="U14" s="45">
        <f t="shared" si="8"/>
        <v>18.708286933869708</v>
      </c>
      <c r="V14" s="45">
        <f t="shared" si="9"/>
        <v>1.0672232011449381</v>
      </c>
      <c r="W14" s="45">
        <f t="shared" si="10"/>
        <v>4.5636383701719879E-2</v>
      </c>
      <c r="X14" s="45">
        <f t="shared" si="11"/>
        <v>1.2402632735176848</v>
      </c>
      <c r="Y14" s="45">
        <f t="shared" si="12"/>
        <v>22.5</v>
      </c>
      <c r="Z14" s="45"/>
      <c r="AA14" s="45">
        <f t="shared" si="13"/>
        <v>0.66980847724618642</v>
      </c>
      <c r="AB14" s="45">
        <f t="shared" si="14"/>
        <v>1.8107180697891834</v>
      </c>
      <c r="AC14" s="45">
        <f t="shared" si="15"/>
        <v>0.86</v>
      </c>
      <c r="AD14" s="45">
        <f t="shared" si="16"/>
        <v>2.3199999999999998</v>
      </c>
      <c r="AE14" s="45">
        <f t="shared" si="17"/>
        <v>9.14</v>
      </c>
      <c r="AF14" s="45">
        <f t="shared" si="18"/>
        <v>10.86</v>
      </c>
      <c r="AG14" s="45">
        <f t="shared" si="19"/>
        <v>32.68</v>
      </c>
      <c r="AH14" s="45">
        <f t="shared" si="20"/>
        <v>37.32</v>
      </c>
      <c r="AI14" s="46"/>
      <c r="AJ14" s="46">
        <f t="shared" si="21"/>
        <v>10</v>
      </c>
      <c r="AK14" s="46">
        <f t="shared" si="22"/>
        <v>35</v>
      </c>
      <c r="AL14" s="46">
        <f t="shared" si="23"/>
        <v>2.9289665772417299</v>
      </c>
      <c r="AM14" s="46">
        <f t="shared" si="24"/>
        <v>19.688466928649081</v>
      </c>
      <c r="AN14" s="46">
        <f t="shared" si="25"/>
        <v>6.4562159799350534</v>
      </c>
      <c r="AO14" s="46">
        <f t="shared" si="26"/>
        <v>6.5742663291964032</v>
      </c>
      <c r="AP14" s="46">
        <f t="shared" si="27"/>
        <v>2.9271782733073621</v>
      </c>
      <c r="AQ14" s="46">
        <f t="shared" si="28"/>
        <v>0.32512999218339966</v>
      </c>
      <c r="AR14" s="46">
        <f t="shared" si="29"/>
        <v>2.4997895148220484</v>
      </c>
      <c r="AS14" s="47">
        <f t="shared" si="30"/>
        <v>2.667621441320478</v>
      </c>
      <c r="AT14" s="63">
        <f t="shared" si="31"/>
        <v>0.1678319264984296</v>
      </c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</row>
    <row r="15" spans="1:116" ht="12" customHeight="1" x14ac:dyDescent="0.2">
      <c r="A15" s="74" t="s">
        <v>16</v>
      </c>
      <c r="B15" s="83">
        <v>10</v>
      </c>
      <c r="C15" s="95">
        <v>35</v>
      </c>
      <c r="D15" s="83">
        <v>22.5</v>
      </c>
      <c r="E15" s="104" t="s">
        <v>11</v>
      </c>
      <c r="F15" s="16" t="s">
        <v>83</v>
      </c>
      <c r="G15" s="36">
        <f t="shared" si="1"/>
        <v>5.5122812156341547</v>
      </c>
      <c r="H15" s="36">
        <f t="shared" si="2"/>
        <v>13.17435210536563</v>
      </c>
      <c r="I15" s="37">
        <f t="shared" si="3"/>
        <v>25.821730126516634</v>
      </c>
      <c r="J15" s="62">
        <f t="shared" si="4"/>
        <v>0.1678319264984296</v>
      </c>
      <c r="K15" s="127">
        <v>6</v>
      </c>
      <c r="L15" s="127">
        <v>11.5</v>
      </c>
      <c r="M15" s="121">
        <v>21</v>
      </c>
      <c r="N15" s="121">
        <v>11.5</v>
      </c>
      <c r="O15" s="121">
        <v>21</v>
      </c>
      <c r="P15" s="33">
        <v>32.68</v>
      </c>
      <c r="Q15" s="33">
        <v>37.32</v>
      </c>
      <c r="R15" s="45">
        <f t="shared" si="5"/>
        <v>0.31958238992228766</v>
      </c>
      <c r="S15" s="45">
        <f t="shared" si="6"/>
        <v>32.791867458915682</v>
      </c>
      <c r="T15" s="45">
        <f t="shared" si="7"/>
        <v>5.7045479627149849</v>
      </c>
      <c r="U15" s="45">
        <f t="shared" si="8"/>
        <v>18.708286933869708</v>
      </c>
      <c r="V15" s="45">
        <f t="shared" si="9"/>
        <v>1.0672232011449381</v>
      </c>
      <c r="W15" s="45">
        <f t="shared" si="10"/>
        <v>4.5636383701719879E-2</v>
      </c>
      <c r="X15" s="45">
        <f t="shared" si="11"/>
        <v>1.2402632735176848</v>
      </c>
      <c r="Y15" s="45">
        <f t="shared" si="12"/>
        <v>22.5</v>
      </c>
      <c r="Z15" s="45"/>
      <c r="AA15" s="45">
        <f t="shared" si="13"/>
        <v>0.66980847724618642</v>
      </c>
      <c r="AB15" s="45">
        <f t="shared" si="14"/>
        <v>1.8107180697891834</v>
      </c>
      <c r="AC15" s="45">
        <f t="shared" si="15"/>
        <v>0.86</v>
      </c>
      <c r="AD15" s="45">
        <f t="shared" si="16"/>
        <v>2.3199999999999998</v>
      </c>
      <c r="AE15" s="45">
        <f t="shared" si="17"/>
        <v>9.14</v>
      </c>
      <c r="AF15" s="45">
        <f t="shared" si="18"/>
        <v>10.86</v>
      </c>
      <c r="AG15" s="45">
        <f t="shared" si="19"/>
        <v>32.68</v>
      </c>
      <c r="AH15" s="45">
        <f t="shared" si="20"/>
        <v>37.32</v>
      </c>
      <c r="AI15" s="46"/>
      <c r="AJ15" s="46">
        <f t="shared" si="21"/>
        <v>10</v>
      </c>
      <c r="AK15" s="46">
        <f t="shared" si="22"/>
        <v>35</v>
      </c>
      <c r="AL15" s="46">
        <f t="shared" si="23"/>
        <v>2.9289665772417299</v>
      </c>
      <c r="AM15" s="46">
        <f t="shared" si="24"/>
        <v>19.688466928649081</v>
      </c>
      <c r="AN15" s="46">
        <f t="shared" si="25"/>
        <v>6.4562159799350534</v>
      </c>
      <c r="AO15" s="46">
        <f t="shared" si="26"/>
        <v>6.5742663291964032</v>
      </c>
      <c r="AP15" s="46">
        <f t="shared" si="27"/>
        <v>2.9271782733073621</v>
      </c>
      <c r="AQ15" s="46">
        <f t="shared" si="28"/>
        <v>0.32512999218339966</v>
      </c>
      <c r="AR15" s="46">
        <f t="shared" si="29"/>
        <v>2.4997895148220484</v>
      </c>
      <c r="AS15" s="47">
        <f t="shared" si="30"/>
        <v>2.667621441320478</v>
      </c>
      <c r="AT15" s="63">
        <f t="shared" si="31"/>
        <v>0.1678319264984296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ht="12.95" customHeight="1" x14ac:dyDescent="0.2">
      <c r="A16" s="74" t="s">
        <v>221</v>
      </c>
      <c r="B16" s="83">
        <v>3.4</v>
      </c>
      <c r="C16" s="83">
        <v>18.8</v>
      </c>
      <c r="D16" s="83">
        <v>11.1</v>
      </c>
      <c r="E16" s="103" t="s">
        <v>18</v>
      </c>
      <c r="F16" s="14"/>
      <c r="G16" s="36">
        <f t="shared" si="1"/>
        <v>6.3704246375915048</v>
      </c>
      <c r="H16" s="36">
        <f t="shared" si="2"/>
        <v>15.225314883843698</v>
      </c>
      <c r="I16" s="37">
        <f t="shared" si="3"/>
        <v>29.841617172333645</v>
      </c>
      <c r="J16" s="62">
        <f t="shared" si="4"/>
        <v>0.12446006810058474</v>
      </c>
      <c r="K16" s="128">
        <v>7</v>
      </c>
      <c r="L16" s="127">
        <v>13</v>
      </c>
      <c r="M16" s="121">
        <v>22</v>
      </c>
      <c r="N16" s="121">
        <v>13</v>
      </c>
      <c r="O16" s="121">
        <v>22</v>
      </c>
      <c r="P16" s="33">
        <v>17.36</v>
      </c>
      <c r="Q16" s="33">
        <v>20.240000000000002</v>
      </c>
      <c r="R16" s="45">
        <f t="shared" si="5"/>
        <v>0.43624526485045617</v>
      </c>
      <c r="S16" s="45">
        <f t="shared" si="6"/>
        <v>45.784761635856803</v>
      </c>
      <c r="T16" s="45">
        <f t="shared" si="7"/>
        <v>6.7479449935411298</v>
      </c>
      <c r="U16" s="45">
        <f t="shared" si="8"/>
        <v>7.9949984365226738</v>
      </c>
      <c r="V16" s="45">
        <f t="shared" si="9"/>
        <v>0.53949809673102334</v>
      </c>
      <c r="W16" s="45">
        <f t="shared" si="10"/>
        <v>5.3983559948329034E-2</v>
      </c>
      <c r="X16" s="45">
        <f t="shared" si="11"/>
        <v>0.70711713477265703</v>
      </c>
      <c r="Y16" s="45">
        <f t="shared" si="12"/>
        <v>11.1</v>
      </c>
      <c r="Z16" s="45"/>
      <c r="AA16" s="45">
        <f t="shared" si="13"/>
        <v>0.29144372317052336</v>
      </c>
      <c r="AB16" s="45">
        <f t="shared" si="14"/>
        <v>1.1227905463747907</v>
      </c>
      <c r="AC16" s="45">
        <f t="shared" si="15"/>
        <v>0.37</v>
      </c>
      <c r="AD16" s="45">
        <f t="shared" si="16"/>
        <v>1.44</v>
      </c>
      <c r="AE16" s="45">
        <f t="shared" si="17"/>
        <v>3.03</v>
      </c>
      <c r="AF16" s="45">
        <f t="shared" si="18"/>
        <v>3.77</v>
      </c>
      <c r="AG16" s="45">
        <f t="shared" si="19"/>
        <v>17.36</v>
      </c>
      <c r="AH16" s="45">
        <f t="shared" si="20"/>
        <v>20.240000000000002</v>
      </c>
      <c r="AI16" s="46"/>
      <c r="AJ16" s="46">
        <f t="shared" si="21"/>
        <v>3.4</v>
      </c>
      <c r="AK16" s="46">
        <f t="shared" si="22"/>
        <v>18.8</v>
      </c>
      <c r="AL16" s="46">
        <f t="shared" si="23"/>
        <v>2.0788161507290095</v>
      </c>
      <c r="AM16" s="46">
        <f t="shared" si="24"/>
        <v>8.7931333546324524</v>
      </c>
      <c r="AN16" s="46">
        <f t="shared" si="25"/>
        <v>4.0259151467414869</v>
      </c>
      <c r="AO16" s="46">
        <f t="shared" si="26"/>
        <v>4.0875429552546132</v>
      </c>
      <c r="AP16" s="46">
        <f t="shared" si="27"/>
        <v>2.0761501729786453</v>
      </c>
      <c r="AQ16" s="46">
        <f t="shared" si="28"/>
        <v>0.44231423965906008</v>
      </c>
      <c r="AR16" s="46">
        <f t="shared" si="29"/>
        <v>2.4997895148220373</v>
      </c>
      <c r="AS16" s="47">
        <f t="shared" si="30"/>
        <v>2.624249582922622</v>
      </c>
      <c r="AT16" s="63">
        <f t="shared" si="31"/>
        <v>0.12446006810058474</v>
      </c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</row>
    <row r="17" spans="1:116" x14ac:dyDescent="0.2">
      <c r="A17" s="74" t="s">
        <v>154</v>
      </c>
      <c r="B17" s="83">
        <v>0.75</v>
      </c>
      <c r="C17" s="83">
        <v>5</v>
      </c>
      <c r="D17" s="83">
        <v>2.875</v>
      </c>
      <c r="E17" s="102" t="s">
        <v>23</v>
      </c>
      <c r="F17" s="13"/>
      <c r="G17" s="36">
        <f t="shared" si="1"/>
        <v>6.6832240813543349</v>
      </c>
      <c r="H17" s="36">
        <f t="shared" si="2"/>
        <v>15.972905554436862</v>
      </c>
      <c r="I17" s="37">
        <f t="shared" si="3"/>
        <v>31.306894886696249</v>
      </c>
      <c r="J17" s="62">
        <f t="shared" si="4"/>
        <v>0.11279826455552477</v>
      </c>
      <c r="K17" s="128">
        <v>8</v>
      </c>
      <c r="L17" s="127">
        <v>13.5</v>
      </c>
      <c r="M17" s="121">
        <v>20</v>
      </c>
      <c r="N17" s="121">
        <v>13.5</v>
      </c>
      <c r="O17" s="121">
        <v>20</v>
      </c>
      <c r="P17" s="33">
        <v>4.5999999999999996</v>
      </c>
      <c r="Q17" s="33">
        <v>5.4</v>
      </c>
      <c r="R17" s="45">
        <f t="shared" si="5"/>
        <v>0.48395917981782688</v>
      </c>
      <c r="S17" s="45">
        <f t="shared" si="6"/>
        <v>51.372958387566328</v>
      </c>
      <c r="T17" s="45">
        <f t="shared" si="7"/>
        <v>7.1500320550027139</v>
      </c>
      <c r="U17" s="45">
        <f t="shared" si="8"/>
        <v>1.9364916731037085</v>
      </c>
      <c r="V17" s="45">
        <f t="shared" si="9"/>
        <v>0.13845977536937354</v>
      </c>
      <c r="W17" s="45">
        <f t="shared" si="10"/>
        <v>5.7200256440021718E-2</v>
      </c>
      <c r="X17" s="45">
        <f t="shared" si="11"/>
        <v>0.19214269233893713</v>
      </c>
      <c r="Y17" s="45">
        <f t="shared" si="12"/>
        <v>2.875</v>
      </c>
      <c r="Z17" s="45"/>
      <c r="AA17" s="45">
        <f t="shared" si="13"/>
        <v>7.0592147403890998E-2</v>
      </c>
      <c r="AB17" s="45">
        <f t="shared" si="14"/>
        <v>0.31369323727398329</v>
      </c>
      <c r="AC17" s="45">
        <f t="shared" si="15"/>
        <v>0.09</v>
      </c>
      <c r="AD17" s="45">
        <f t="shared" si="16"/>
        <v>0.4</v>
      </c>
      <c r="AE17" s="45">
        <f t="shared" si="17"/>
        <v>0.66</v>
      </c>
      <c r="AF17" s="45">
        <f t="shared" si="18"/>
        <v>0.84</v>
      </c>
      <c r="AG17" s="45">
        <f t="shared" si="19"/>
        <v>4.5999999999999996</v>
      </c>
      <c r="AH17" s="45">
        <f t="shared" si="20"/>
        <v>5.4</v>
      </c>
      <c r="AI17" s="46"/>
      <c r="AJ17" s="46">
        <f t="shared" si="21"/>
        <v>0.75</v>
      </c>
      <c r="AK17" s="46">
        <f t="shared" si="22"/>
        <v>5</v>
      </c>
      <c r="AL17" s="46">
        <f t="shared" si="23"/>
        <v>0.66087791999115963</v>
      </c>
      <c r="AM17" s="46">
        <f t="shared" si="24"/>
        <v>2.1770835583548425</v>
      </c>
      <c r="AN17" s="46">
        <f t="shared" si="25"/>
        <v>1.1184322304961816</v>
      </c>
      <c r="AO17" s="46">
        <f t="shared" si="26"/>
        <v>1.1348169316818988</v>
      </c>
      <c r="AP17" s="46">
        <f t="shared" si="27"/>
        <v>0.6578059723382178</v>
      </c>
      <c r="AQ17" s="46">
        <f t="shared" si="28"/>
        <v>0.49026562497877352</v>
      </c>
      <c r="AR17" s="46">
        <f t="shared" si="29"/>
        <v>2.4997895148220484</v>
      </c>
      <c r="AS17" s="47">
        <f t="shared" si="30"/>
        <v>2.6125877793775731</v>
      </c>
      <c r="AT17" s="63">
        <f t="shared" si="31"/>
        <v>0.11279826455552477</v>
      </c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</row>
    <row r="18" spans="1:116" ht="14.1" customHeight="1" x14ac:dyDescent="0.2">
      <c r="A18" s="74" t="s">
        <v>190</v>
      </c>
      <c r="B18" s="83">
        <v>0.1</v>
      </c>
      <c r="C18" s="89">
        <v>35</v>
      </c>
      <c r="D18" s="98">
        <f>(B18+C18)/2</f>
        <v>17.55</v>
      </c>
      <c r="E18" s="102" t="s">
        <v>121</v>
      </c>
      <c r="F18" s="11"/>
      <c r="G18" s="36"/>
      <c r="H18" s="36"/>
      <c r="I18" s="37"/>
      <c r="J18" s="62">
        <f t="shared" si="4"/>
        <v>1.1730202117310462E-2</v>
      </c>
      <c r="K18" s="128"/>
      <c r="L18" s="127"/>
      <c r="N18" s="121">
        <v>16</v>
      </c>
      <c r="P18" s="33"/>
      <c r="Q18" s="33"/>
      <c r="R18" s="45">
        <f t="shared" si="5"/>
        <v>1.4943707026743518</v>
      </c>
      <c r="S18" s="45">
        <f t="shared" si="6"/>
        <v>288.6026503047874</v>
      </c>
      <c r="T18" s="45">
        <f t="shared" si="7"/>
        <v>16.980949629063371</v>
      </c>
      <c r="U18" s="45">
        <f t="shared" si="8"/>
        <v>1.8708286933869707</v>
      </c>
      <c r="V18" s="45">
        <f t="shared" si="9"/>
        <v>0.31768447807010591</v>
      </c>
      <c r="W18" s="45">
        <f t="shared" si="10"/>
        <v>0.13584759703250696</v>
      </c>
      <c r="X18" s="45">
        <f t="shared" si="11"/>
        <v>2.4476622235345182</v>
      </c>
      <c r="Y18" s="45">
        <f t="shared" si="12"/>
        <v>17.55</v>
      </c>
      <c r="Z18" s="45"/>
      <c r="AA18" s="45">
        <f t="shared" si="13"/>
        <v>7.7121655317271887E-2</v>
      </c>
      <c r="AB18" s="45">
        <f t="shared" si="14"/>
        <v>4.8182027917517649</v>
      </c>
      <c r="AC18" s="45">
        <f t="shared" si="15"/>
        <v>0.1</v>
      </c>
      <c r="AD18" s="45">
        <f t="shared" si="16"/>
        <v>6.17</v>
      </c>
      <c r="AE18" s="45">
        <f t="shared" si="17"/>
        <v>0</v>
      </c>
      <c r="AF18" s="45">
        <f t="shared" si="18"/>
        <v>0.2</v>
      </c>
      <c r="AG18" s="45">
        <f t="shared" si="19"/>
        <v>28.83</v>
      </c>
      <c r="AH18" s="45">
        <f t="shared" si="20"/>
        <v>41.17</v>
      </c>
      <c r="AI18" s="46"/>
      <c r="AJ18" s="46">
        <f t="shared" si="21"/>
        <v>0.1</v>
      </c>
      <c r="AK18" s="46">
        <f t="shared" si="22"/>
        <v>35</v>
      </c>
      <c r="AL18" s="46">
        <f t="shared" si="23"/>
        <v>0.62638148424768403</v>
      </c>
      <c r="AM18" s="46">
        <f t="shared" si="24"/>
        <v>5.7141947304087903</v>
      </c>
      <c r="AN18" s="46">
        <f t="shared" si="25"/>
        <v>16.491317435536271</v>
      </c>
      <c r="AO18" s="46">
        <f t="shared" si="26"/>
        <v>16.671970523010785</v>
      </c>
      <c r="AP18" s="46">
        <f t="shared" si="27"/>
        <v>0.6166431493855522</v>
      </c>
      <c r="AQ18" s="46">
        <f t="shared" si="28"/>
        <v>1.5008732347322673</v>
      </c>
      <c r="AR18" s="46">
        <f t="shared" si="29"/>
        <v>2.4997895148220484</v>
      </c>
      <c r="AS18" s="47">
        <f t="shared" si="30"/>
        <v>2.5115197169393588</v>
      </c>
      <c r="AT18" s="63">
        <f t="shared" si="31"/>
        <v>1.1730202117310462E-2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</row>
    <row r="19" spans="1:116" x14ac:dyDescent="0.2">
      <c r="A19" s="74" t="s">
        <v>120</v>
      </c>
      <c r="B19" s="85">
        <v>6</v>
      </c>
      <c r="C19" s="83">
        <v>40</v>
      </c>
      <c r="D19" s="83">
        <v>23</v>
      </c>
      <c r="E19" s="102" t="s">
        <v>121</v>
      </c>
      <c r="F19" s="13"/>
      <c r="G19" s="36">
        <f>(X19*100)/D19</f>
        <v>6.6832240813543349</v>
      </c>
      <c r="H19" s="36">
        <f>G19*2.39</f>
        <v>15.972905554436862</v>
      </c>
      <c r="I19" s="37">
        <f>H19*1.96</f>
        <v>31.306894886696249</v>
      </c>
      <c r="J19" s="62">
        <f t="shared" ref="J19:J24" si="32">AT19</f>
        <v>0.11279826455552477</v>
      </c>
      <c r="K19" s="128"/>
      <c r="L19" s="127">
        <v>16</v>
      </c>
      <c r="M19" s="121">
        <v>24</v>
      </c>
      <c r="N19" s="121">
        <v>16</v>
      </c>
      <c r="O19" s="121">
        <v>24</v>
      </c>
      <c r="P19" s="33">
        <v>36.79</v>
      </c>
      <c r="Q19" s="33">
        <v>43.21</v>
      </c>
      <c r="R19" s="45">
        <f t="shared" ref="R19:R24" si="33">(LN(C19)-LN(B19))/3.92</f>
        <v>0.48395917981782688</v>
      </c>
      <c r="S19" s="45">
        <f t="shared" ref="S19:S24" si="34">100*(EXP(R19^2)-1)^0.5</f>
        <v>51.372958387566328</v>
      </c>
      <c r="T19" s="45">
        <f t="shared" ref="T19:T24" si="35">(S19-0.25)^0.5</f>
        <v>7.1500320550027139</v>
      </c>
      <c r="U19" s="45">
        <f t="shared" ref="U19:U24" si="36">(B19*C19)^0.5</f>
        <v>15.491933384829668</v>
      </c>
      <c r="V19" s="45">
        <f t="shared" ref="V19:V24" si="37">T19*U19*0.01</f>
        <v>1.1076782029549883</v>
      </c>
      <c r="W19" s="45">
        <f t="shared" ref="W19:W24" si="38">(V19-0.2*V19)/U19</f>
        <v>5.7200256440021718E-2</v>
      </c>
      <c r="X19" s="45">
        <f t="shared" ref="X19:X24" si="39">(D19*W19)+(0.2*V19)</f>
        <v>1.5371415387114971</v>
      </c>
      <c r="Y19" s="45">
        <f>(B19+C19)/2</f>
        <v>23</v>
      </c>
      <c r="Z19" s="45"/>
      <c r="AA19" s="45">
        <f>(B19*W19)+(0.2*V19)</f>
        <v>0.56473717923112798</v>
      </c>
      <c r="AB19" s="45">
        <f>(C19*W19)+(0.2*V19)</f>
        <v>2.5095458981918664</v>
      </c>
      <c r="AC19" s="45">
        <f t="shared" si="15"/>
        <v>0.72</v>
      </c>
      <c r="AD19" s="45">
        <f t="shared" si="16"/>
        <v>3.21</v>
      </c>
      <c r="AE19" s="45">
        <f t="shared" si="17"/>
        <v>5.28</v>
      </c>
      <c r="AF19" s="45">
        <f t="shared" si="18"/>
        <v>6.72</v>
      </c>
      <c r="AG19" s="45">
        <f t="shared" si="19"/>
        <v>36.79</v>
      </c>
      <c r="AH19" s="45">
        <f t="shared" si="20"/>
        <v>43.21</v>
      </c>
      <c r="AI19" s="46"/>
      <c r="AJ19" s="46">
        <f t="shared" si="21"/>
        <v>6</v>
      </c>
      <c r="AK19" s="46">
        <f t="shared" si="22"/>
        <v>40</v>
      </c>
      <c r="AL19" s="46">
        <f t="shared" si="23"/>
        <v>2.7403194616709956</v>
      </c>
      <c r="AM19" s="46">
        <f t="shared" si="24"/>
        <v>17.41666846683874</v>
      </c>
      <c r="AN19" s="46">
        <f t="shared" si="25"/>
        <v>8.9474578439694525</v>
      </c>
      <c r="AO19" s="46">
        <f t="shared" si="26"/>
        <v>9.0785354534551903</v>
      </c>
      <c r="AP19" s="46">
        <f t="shared" si="27"/>
        <v>2.7372475140180539</v>
      </c>
      <c r="AQ19" s="46">
        <f t="shared" si="28"/>
        <v>0.49026562497877352</v>
      </c>
      <c r="AR19" s="46">
        <f t="shared" si="29"/>
        <v>2.4997895148220484</v>
      </c>
      <c r="AS19" s="47">
        <f t="shared" si="30"/>
        <v>2.6125877793775731</v>
      </c>
      <c r="AT19" s="63">
        <f t="shared" si="31"/>
        <v>0.11279826455552477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</row>
    <row r="20" spans="1:116" x14ac:dyDescent="0.2">
      <c r="A20" s="74" t="s">
        <v>191</v>
      </c>
      <c r="B20" s="86">
        <v>1</v>
      </c>
      <c r="C20" s="96">
        <v>37</v>
      </c>
      <c r="D20" s="83"/>
      <c r="E20" s="99" t="s">
        <v>225</v>
      </c>
      <c r="F20" s="11"/>
      <c r="G20" s="36"/>
      <c r="H20" s="36"/>
      <c r="I20" s="37"/>
      <c r="J20" s="62">
        <f t="shared" si="32"/>
        <v>3.0239510252494384E-4</v>
      </c>
      <c r="K20" s="128"/>
      <c r="L20" s="127"/>
      <c r="N20" s="121">
        <v>20</v>
      </c>
      <c r="P20" s="33"/>
      <c r="Q20" s="33"/>
      <c r="R20" s="45">
        <f t="shared" si="33"/>
        <v>0.92115252873577158</v>
      </c>
      <c r="S20" s="45">
        <f t="shared" si="34"/>
        <v>115.59374395493249</v>
      </c>
      <c r="T20" s="45">
        <f t="shared" si="35"/>
        <v>10.73982048057287</v>
      </c>
      <c r="U20" s="45">
        <f t="shared" si="36"/>
        <v>6.0827625302982193</v>
      </c>
      <c r="V20" s="45">
        <f t="shared" si="37"/>
        <v>0.65327777601358061</v>
      </c>
      <c r="W20" s="45">
        <f t="shared" si="38"/>
        <v>8.5918563844582949E-2</v>
      </c>
      <c r="X20" s="45">
        <f t="shared" si="39"/>
        <v>0.13065555520271613</v>
      </c>
      <c r="Y20" s="45">
        <f t="shared" ref="Y20:Y83" si="40">(B20+C20)/2</f>
        <v>19</v>
      </c>
      <c r="Z20" s="45"/>
      <c r="AA20" s="45"/>
      <c r="AB20" s="45">
        <f>(C20*W20)+(0.2*V20)</f>
        <v>3.3096424174522854</v>
      </c>
      <c r="AC20" s="45">
        <f t="shared" si="15"/>
        <v>0</v>
      </c>
      <c r="AD20" s="45">
        <f t="shared" si="16"/>
        <v>4.24</v>
      </c>
      <c r="AE20" s="45">
        <f t="shared" si="17"/>
        <v>1</v>
      </c>
      <c r="AF20" s="45">
        <f t="shared" si="18"/>
        <v>1</v>
      </c>
      <c r="AG20" s="45">
        <f t="shared" si="19"/>
        <v>32.76</v>
      </c>
      <c r="AH20" s="45">
        <f t="shared" si="20"/>
        <v>41.24</v>
      </c>
      <c r="AI20" s="46"/>
      <c r="AJ20" s="46">
        <f t="shared" si="21"/>
        <v>1</v>
      </c>
      <c r="AK20" s="46">
        <f t="shared" si="22"/>
        <v>37</v>
      </c>
      <c r="AL20" s="46">
        <f t="shared" si="23"/>
        <v>1.8054589563221122</v>
      </c>
      <c r="AM20" s="46">
        <f t="shared" si="24"/>
        <v>9.2972619880058467</v>
      </c>
      <c r="AN20" s="46">
        <f t="shared" si="25"/>
        <v>10.747053217234745</v>
      </c>
      <c r="AO20" s="46">
        <f t="shared" si="26"/>
        <v>10.747847399743868</v>
      </c>
      <c r="AP20" s="46">
        <f t="shared" si="27"/>
        <v>1.8054166905452942</v>
      </c>
      <c r="AQ20" s="46">
        <f t="shared" si="28"/>
        <v>0.92119841117423928</v>
      </c>
      <c r="AR20" s="46">
        <f t="shared" si="29"/>
        <v>2.4997895148220484</v>
      </c>
      <c r="AS20" s="47">
        <f t="shared" si="30"/>
        <v>2.5000919099245733</v>
      </c>
      <c r="AT20" s="63">
        <f t="shared" si="31"/>
        <v>3.0239510252494384E-4</v>
      </c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</row>
    <row r="21" spans="1:116" x14ac:dyDescent="0.2">
      <c r="A21" s="74" t="s">
        <v>19</v>
      </c>
      <c r="B21" s="83">
        <v>2.2000000000000002</v>
      </c>
      <c r="C21" s="87">
        <v>2.65</v>
      </c>
      <c r="D21" s="83">
        <v>2.4249999999999998</v>
      </c>
      <c r="E21" s="105" t="s">
        <v>20</v>
      </c>
      <c r="F21" s="17"/>
      <c r="G21" s="36">
        <f>(X21*100)/D21</f>
        <v>2.119533405170122</v>
      </c>
      <c r="H21" s="36">
        <f>G21*2.39</f>
        <v>5.0656848383565922</v>
      </c>
      <c r="I21" s="37">
        <f>H21*1.96</f>
        <v>9.92874228317892</v>
      </c>
      <c r="J21" s="62">
        <f t="shared" si="32"/>
        <v>1.1449582673414338</v>
      </c>
      <c r="K21" s="128">
        <v>3</v>
      </c>
      <c r="L21" s="127">
        <v>6</v>
      </c>
      <c r="M21" s="121">
        <v>10</v>
      </c>
      <c r="N21" s="121">
        <v>6</v>
      </c>
      <c r="O21" s="121">
        <v>10</v>
      </c>
      <c r="P21" s="33">
        <v>2.58</v>
      </c>
      <c r="Q21" s="33">
        <v>2.7199999999999998</v>
      </c>
      <c r="R21" s="45">
        <f t="shared" si="33"/>
        <v>4.7475071335168498E-2</v>
      </c>
      <c r="S21" s="45">
        <f t="shared" si="34"/>
        <v>4.7501834707404766</v>
      </c>
      <c r="T21" s="45">
        <f t="shared" si="35"/>
        <v>2.1213635875871155</v>
      </c>
      <c r="U21" s="45">
        <f t="shared" si="36"/>
        <v>2.414539293529927</v>
      </c>
      <c r="V21" s="45">
        <f t="shared" si="37"/>
        <v>5.122115738092705E-2</v>
      </c>
      <c r="W21" s="45">
        <f t="shared" si="38"/>
        <v>1.6970908700696924E-2</v>
      </c>
      <c r="X21" s="45">
        <f t="shared" si="39"/>
        <v>5.1398685075375448E-2</v>
      </c>
      <c r="Y21" s="45">
        <f t="shared" si="40"/>
        <v>2.4249999999999998</v>
      </c>
      <c r="Z21" s="45"/>
      <c r="AA21" s="45">
        <f>(B21*W21)+(0.2*V21)</f>
        <v>4.7580230617718648E-2</v>
      </c>
      <c r="AB21" s="45">
        <f>(C21*W21)+(0.2*V21)</f>
        <v>5.5217139533032256E-2</v>
      </c>
      <c r="AC21" s="45">
        <f t="shared" si="15"/>
        <v>0.06</v>
      </c>
      <c r="AD21" s="45">
        <f t="shared" si="16"/>
        <v>7.0000000000000007E-2</v>
      </c>
      <c r="AE21" s="45">
        <f t="shared" si="17"/>
        <v>2.14</v>
      </c>
      <c r="AF21" s="45">
        <f t="shared" si="18"/>
        <v>2.2600000000000002</v>
      </c>
      <c r="AG21" s="45">
        <f t="shared" si="19"/>
        <v>2.58</v>
      </c>
      <c r="AH21" s="45">
        <f t="shared" si="20"/>
        <v>2.7199999999999998</v>
      </c>
      <c r="AI21" s="46"/>
      <c r="AJ21" s="46">
        <f t="shared" si="21"/>
        <v>2.2000000000000002</v>
      </c>
      <c r="AK21" s="46">
        <f t="shared" si="22"/>
        <v>2.65</v>
      </c>
      <c r="AL21" s="46">
        <f t="shared" si="23"/>
        <v>0.88150850018120053</v>
      </c>
      <c r="AM21" s="46">
        <f t="shared" si="24"/>
        <v>2.4172618711410481</v>
      </c>
      <c r="AN21" s="46">
        <f t="shared" si="25"/>
        <v>0.11482437384745403</v>
      </c>
      <c r="AO21" s="46">
        <f t="shared" si="26"/>
        <v>0.12580326568470912</v>
      </c>
      <c r="AP21" s="46">
        <f t="shared" si="27"/>
        <v>0.88128299847527691</v>
      </c>
      <c r="AQ21" s="46">
        <f t="shared" si="28"/>
        <v>5.2008516707619037E-2</v>
      </c>
      <c r="AR21" s="46">
        <f t="shared" si="29"/>
        <v>2.4997895148220484</v>
      </c>
      <c r="AS21" s="47">
        <f t="shared" si="30"/>
        <v>3.6447477821634822</v>
      </c>
      <c r="AT21" s="63">
        <f t="shared" si="31"/>
        <v>1.1449582673414338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</row>
    <row r="22" spans="1:116" x14ac:dyDescent="0.2">
      <c r="A22" s="74" t="s">
        <v>21</v>
      </c>
      <c r="B22" s="83">
        <v>1.1499999999999999</v>
      </c>
      <c r="C22" s="83">
        <v>1.45</v>
      </c>
      <c r="D22" s="83">
        <v>1.2999999999999998</v>
      </c>
      <c r="E22" s="102" t="s">
        <v>20</v>
      </c>
      <c r="F22" s="13"/>
      <c r="G22" s="36">
        <f>(X22*100)/D22</f>
        <v>2.3776764913873318</v>
      </c>
      <c r="H22" s="36">
        <f>G22*2.39</f>
        <v>5.6826468144157234</v>
      </c>
      <c r="I22" s="37">
        <f>H22*1.96</f>
        <v>11.137987756254818</v>
      </c>
      <c r="J22" s="62">
        <f t="shared" si="32"/>
        <v>0.92155829523361543</v>
      </c>
      <c r="K22" s="128">
        <v>5</v>
      </c>
      <c r="L22" s="127">
        <v>7.5</v>
      </c>
      <c r="M22" s="121">
        <v>15</v>
      </c>
      <c r="N22" s="121">
        <v>7.5</v>
      </c>
      <c r="O22" s="121">
        <v>15</v>
      </c>
      <c r="P22" s="33">
        <v>1.41</v>
      </c>
      <c r="Q22" s="33">
        <v>1.49</v>
      </c>
      <c r="R22" s="45">
        <f t="shared" si="33"/>
        <v>5.9133064810541938E-2</v>
      </c>
      <c r="S22" s="45">
        <f t="shared" si="34"/>
        <v>5.918479542077816</v>
      </c>
      <c r="T22" s="45">
        <f t="shared" si="35"/>
        <v>2.3808568923977385</v>
      </c>
      <c r="U22" s="45">
        <f t="shared" si="36"/>
        <v>1.2913171570144957</v>
      </c>
      <c r="V22" s="45">
        <f t="shared" si="37"/>
        <v>3.0744413535494151E-2</v>
      </c>
      <c r="W22" s="45">
        <f t="shared" si="38"/>
        <v>1.904685513918191E-2</v>
      </c>
      <c r="X22" s="45">
        <f t="shared" si="39"/>
        <v>3.090979438803531E-2</v>
      </c>
      <c r="Y22" s="45">
        <f t="shared" si="40"/>
        <v>1.2999999999999998</v>
      </c>
      <c r="Z22" s="45"/>
      <c r="AA22" s="45">
        <f>(B22*W22)+(0.2*V22)</f>
        <v>2.8052766117158026E-2</v>
      </c>
      <c r="AB22" s="45">
        <f>(C22*W22)+(0.2*V22)</f>
        <v>3.37668226589126E-2</v>
      </c>
      <c r="AC22" s="45">
        <f t="shared" si="15"/>
        <v>0.04</v>
      </c>
      <c r="AD22" s="45">
        <f t="shared" si="16"/>
        <v>0.04</v>
      </c>
      <c r="AE22" s="45">
        <f t="shared" si="17"/>
        <v>1.1099999999999999</v>
      </c>
      <c r="AF22" s="45">
        <f t="shared" si="18"/>
        <v>1.19</v>
      </c>
      <c r="AG22" s="45">
        <f t="shared" si="19"/>
        <v>1.41</v>
      </c>
      <c r="AH22" s="45">
        <f t="shared" si="20"/>
        <v>1.49</v>
      </c>
      <c r="AI22" s="46"/>
      <c r="AJ22" s="46">
        <f t="shared" si="21"/>
        <v>1.1499999999999999</v>
      </c>
      <c r="AK22" s="46">
        <f t="shared" si="22"/>
        <v>1.45</v>
      </c>
      <c r="AL22" s="46">
        <f t="shared" si="23"/>
        <v>0.25566274940382083</v>
      </c>
      <c r="AM22" s="46">
        <f t="shared" si="24"/>
        <v>1.293576818636994</v>
      </c>
      <c r="AN22" s="46">
        <f t="shared" si="25"/>
        <v>7.6560079372091541E-2</v>
      </c>
      <c r="AO22" s="46">
        <f t="shared" si="26"/>
        <v>8.2564284909224378E-2</v>
      </c>
      <c r="AP22" s="46">
        <f t="shared" si="27"/>
        <v>0.25537834542933963</v>
      </c>
      <c r="AQ22" s="46">
        <f t="shared" si="28"/>
        <v>6.3761487614783785E-2</v>
      </c>
      <c r="AR22" s="46">
        <f t="shared" si="29"/>
        <v>2.4997895148220484</v>
      </c>
      <c r="AS22" s="47">
        <f t="shared" si="30"/>
        <v>3.4213478100556638</v>
      </c>
      <c r="AT22" s="63">
        <f t="shared" si="31"/>
        <v>0.92155829523361543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</row>
    <row r="23" spans="1:116" ht="14.1" customHeight="1" x14ac:dyDescent="0.2">
      <c r="A23" s="74" t="s">
        <v>22</v>
      </c>
      <c r="B23" s="83">
        <v>4</v>
      </c>
      <c r="C23" s="83">
        <v>10</v>
      </c>
      <c r="D23" s="83">
        <v>7</v>
      </c>
      <c r="E23" s="102" t="s">
        <v>23</v>
      </c>
      <c r="F23" s="18"/>
      <c r="G23" s="36">
        <f>(X23*100)/D23</f>
        <v>4.748835668479308</v>
      </c>
      <c r="H23" s="36">
        <f>G23*2.39</f>
        <v>11.349717247665547</v>
      </c>
      <c r="I23" s="37">
        <f>H23*1.96</f>
        <v>22.24544580542447</v>
      </c>
      <c r="J23" s="62">
        <f t="shared" si="32"/>
        <v>0.22885544514741341</v>
      </c>
      <c r="K23" s="128">
        <v>7</v>
      </c>
      <c r="L23" s="127">
        <v>12</v>
      </c>
      <c r="M23" s="121">
        <v>20</v>
      </c>
      <c r="N23" s="121">
        <v>12</v>
      </c>
      <c r="O23" s="121">
        <v>20</v>
      </c>
      <c r="P23" s="33">
        <v>9.43</v>
      </c>
      <c r="Q23" s="33">
        <v>10.57</v>
      </c>
      <c r="R23" s="45">
        <f t="shared" si="33"/>
        <v>0.23374763568218249</v>
      </c>
      <c r="S23" s="45">
        <f t="shared" si="34"/>
        <v>23.697715285232363</v>
      </c>
      <c r="T23" s="45">
        <f t="shared" si="35"/>
        <v>4.8422840979472035</v>
      </c>
      <c r="U23" s="45">
        <f t="shared" si="36"/>
        <v>6.324555320336759</v>
      </c>
      <c r="V23" s="45">
        <f t="shared" si="37"/>
        <v>0.30625293654254071</v>
      </c>
      <c r="W23" s="45">
        <f t="shared" si="38"/>
        <v>3.8738272783577631E-2</v>
      </c>
      <c r="X23" s="45">
        <f t="shared" si="39"/>
        <v>0.33241849679355157</v>
      </c>
      <c r="Y23" s="45">
        <f t="shared" si="40"/>
        <v>7</v>
      </c>
      <c r="Z23" s="45"/>
      <c r="AA23" s="45">
        <f>(B23*W23)+(0.2*V23)</f>
        <v>0.21620367844281868</v>
      </c>
      <c r="AB23" s="45">
        <f>(C23*W23)+(0.2*V23)</f>
        <v>0.44863331514428445</v>
      </c>
      <c r="AC23" s="45">
        <f t="shared" si="15"/>
        <v>0.28000000000000003</v>
      </c>
      <c r="AD23" s="45">
        <f t="shared" si="16"/>
        <v>0.56999999999999995</v>
      </c>
      <c r="AE23" s="45">
        <f t="shared" si="17"/>
        <v>3.7199999999999998</v>
      </c>
      <c r="AF23" s="45">
        <f t="shared" si="18"/>
        <v>4.28</v>
      </c>
      <c r="AG23" s="45">
        <f t="shared" si="19"/>
        <v>9.43</v>
      </c>
      <c r="AH23" s="45">
        <f t="shared" si="20"/>
        <v>10.57</v>
      </c>
      <c r="AI23" s="46"/>
      <c r="AJ23" s="46">
        <f t="shared" si="21"/>
        <v>4</v>
      </c>
      <c r="AK23" s="46">
        <f t="shared" si="22"/>
        <v>10</v>
      </c>
      <c r="AL23" s="46">
        <f t="shared" si="23"/>
        <v>1.8444397270569683</v>
      </c>
      <c r="AM23" s="46">
        <f t="shared" si="24"/>
        <v>6.4997174430093301</v>
      </c>
      <c r="AN23" s="46">
        <f t="shared" si="25"/>
        <v>1.5402845339889362</v>
      </c>
      <c r="AO23" s="46">
        <f t="shared" si="26"/>
        <v>1.5757469665704575</v>
      </c>
      <c r="AP23" s="46">
        <f t="shared" si="27"/>
        <v>1.8432029676554558</v>
      </c>
      <c r="AQ23" s="46">
        <f t="shared" si="28"/>
        <v>0.23898007446236</v>
      </c>
      <c r="AR23" s="46">
        <f t="shared" si="29"/>
        <v>2.4997895148220484</v>
      </c>
      <c r="AS23" s="47">
        <f t="shared" si="30"/>
        <v>2.7286449599694618</v>
      </c>
      <c r="AT23" s="63">
        <f t="shared" si="31"/>
        <v>0.22885544514741341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</row>
    <row r="24" spans="1:116" x14ac:dyDescent="0.2">
      <c r="A24" s="75" t="s">
        <v>192</v>
      </c>
      <c r="B24" s="84">
        <v>0.1</v>
      </c>
      <c r="C24" s="86">
        <v>2.5</v>
      </c>
      <c r="D24" s="84">
        <v>2</v>
      </c>
      <c r="E24" s="99" t="s">
        <v>40</v>
      </c>
      <c r="F24" s="11"/>
      <c r="G24" s="36"/>
      <c r="H24" s="36"/>
      <c r="I24" s="37"/>
      <c r="J24" s="62">
        <f t="shared" si="32"/>
        <v>0.1405642968748011</v>
      </c>
      <c r="K24" s="128"/>
      <c r="L24" s="127"/>
      <c r="N24" s="121">
        <v>4.5</v>
      </c>
      <c r="P24" s="33"/>
      <c r="Q24" s="33"/>
      <c r="R24" s="45">
        <f t="shared" si="33"/>
        <v>0.82114179205821447</v>
      </c>
      <c r="S24" s="45">
        <f t="shared" si="34"/>
        <v>98.112552546231512</v>
      </c>
      <c r="T24" s="45">
        <f t="shared" si="35"/>
        <v>9.8925503560119168</v>
      </c>
      <c r="U24" s="45">
        <f t="shared" si="36"/>
        <v>0.5</v>
      </c>
      <c r="V24" s="45">
        <f t="shared" si="37"/>
        <v>4.9462751780059586E-2</v>
      </c>
      <c r="W24" s="45">
        <f t="shared" si="38"/>
        <v>7.9140402848095343E-2</v>
      </c>
      <c r="X24" s="45">
        <f t="shared" si="39"/>
        <v>0.1681733560522026</v>
      </c>
      <c r="Y24" s="45">
        <f t="shared" si="40"/>
        <v>1.3</v>
      </c>
      <c r="Z24" s="45"/>
      <c r="AA24" s="45"/>
      <c r="AB24" s="45"/>
      <c r="AC24" s="45">
        <f t="shared" si="15"/>
        <v>0</v>
      </c>
      <c r="AD24" s="45">
        <f t="shared" si="16"/>
        <v>0</v>
      </c>
      <c r="AE24" s="45">
        <f t="shared" si="17"/>
        <v>0.1</v>
      </c>
      <c r="AF24" s="45">
        <f t="shared" si="18"/>
        <v>0.1</v>
      </c>
      <c r="AG24" s="45">
        <f t="shared" si="19"/>
        <v>2.5</v>
      </c>
      <c r="AH24" s="45">
        <f t="shared" si="20"/>
        <v>2.5</v>
      </c>
      <c r="AI24" s="46"/>
      <c r="AJ24" s="46">
        <f t="shared" si="21"/>
        <v>0.1</v>
      </c>
      <c r="AK24" s="46">
        <f t="shared" si="22"/>
        <v>2.5</v>
      </c>
      <c r="AL24" s="46">
        <f t="shared" si="23"/>
        <v>-0.69314718055994518</v>
      </c>
      <c r="AM24" s="46">
        <f t="shared" si="24"/>
        <v>0.7004654339640366</v>
      </c>
      <c r="AN24" s="46">
        <f t="shared" si="25"/>
        <v>0.68724451696615396</v>
      </c>
      <c r="AO24" s="46">
        <f t="shared" si="26"/>
        <v>0.70752194579808136</v>
      </c>
      <c r="AP24" s="46">
        <f t="shared" si="27"/>
        <v>-0.70762078140583995</v>
      </c>
      <c r="AQ24" s="46">
        <f t="shared" si="28"/>
        <v>0.83858275939609284</v>
      </c>
      <c r="AR24" s="46">
        <f t="shared" si="29"/>
        <v>2.4997895148220484</v>
      </c>
      <c r="AS24" s="47">
        <f t="shared" si="30"/>
        <v>2.6403538116968495</v>
      </c>
      <c r="AT24" s="63">
        <f t="shared" si="31"/>
        <v>0.1405642968748011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</row>
    <row r="25" spans="1:116" ht="12.95" customHeight="1" x14ac:dyDescent="0.2">
      <c r="A25" s="74" t="s">
        <v>24</v>
      </c>
      <c r="B25" s="83">
        <v>0.75</v>
      </c>
      <c r="C25" s="83">
        <v>5</v>
      </c>
      <c r="D25" s="83">
        <v>2.875</v>
      </c>
      <c r="E25" s="103" t="s">
        <v>15</v>
      </c>
      <c r="F25" s="13"/>
      <c r="G25" s="36">
        <f t="shared" ref="G25:G31" si="41">(X25*100)/D25</f>
        <v>6.6832240813543349</v>
      </c>
      <c r="H25" s="36">
        <f t="shared" ref="H25:H31" si="42">G25*2.39</f>
        <v>15.972905554436862</v>
      </c>
      <c r="I25" s="37">
        <f t="shared" ref="I25:I31" si="43">H25*1.96</f>
        <v>31.306894886696249</v>
      </c>
      <c r="J25" s="62">
        <f t="shared" ref="J25:J32" si="44">AT25</f>
        <v>0.11279826455552477</v>
      </c>
      <c r="K25" s="128"/>
      <c r="L25" s="127">
        <v>14</v>
      </c>
      <c r="M25" s="121">
        <v>24</v>
      </c>
      <c r="N25" s="121">
        <v>14</v>
      </c>
      <c r="O25" s="121">
        <v>24</v>
      </c>
      <c r="P25" s="33">
        <v>4.5999999999999996</v>
      </c>
      <c r="Q25" s="33">
        <v>5.4</v>
      </c>
      <c r="R25" s="45">
        <f t="shared" ref="R25:R34" si="45">(LN(C25)-LN(B25))/3.92</f>
        <v>0.48395917981782688</v>
      </c>
      <c r="S25" s="45">
        <f t="shared" ref="S25:S34" si="46">100*(EXP(R25^2)-1)^0.5</f>
        <v>51.372958387566328</v>
      </c>
      <c r="T25" s="45">
        <f t="shared" ref="T25:T34" si="47">(S25-0.25)^0.5</f>
        <v>7.1500320550027139</v>
      </c>
      <c r="U25" s="45">
        <f t="shared" ref="U25:U34" si="48">(B25*C25)^0.5</f>
        <v>1.9364916731037085</v>
      </c>
      <c r="V25" s="45">
        <f t="shared" ref="V25:V34" si="49">T25*U25*0.01</f>
        <v>0.13845977536937354</v>
      </c>
      <c r="W25" s="45">
        <f t="shared" ref="W25:W34" si="50">(V25-0.2*V25)/U25</f>
        <v>5.7200256440021718E-2</v>
      </c>
      <c r="X25" s="45">
        <f t="shared" ref="X25:X34" si="51">(D25*W25)+(0.2*V25)</f>
        <v>0.19214269233893713</v>
      </c>
      <c r="Y25" s="45">
        <f t="shared" si="40"/>
        <v>2.875</v>
      </c>
      <c r="Z25" s="45"/>
      <c r="AA25" s="45">
        <f t="shared" ref="AA25:AA32" si="52">(B25*W25)+(0.2*V25)</f>
        <v>7.0592147403890998E-2</v>
      </c>
      <c r="AB25" s="45">
        <f t="shared" ref="AB25:AB32" si="53">(C25*W25)+(0.2*V25)</f>
        <v>0.31369323727398329</v>
      </c>
      <c r="AC25" s="45">
        <f t="shared" si="15"/>
        <v>0.09</v>
      </c>
      <c r="AD25" s="45">
        <f t="shared" si="16"/>
        <v>0.4</v>
      </c>
      <c r="AE25" s="45">
        <f t="shared" si="17"/>
        <v>0.66</v>
      </c>
      <c r="AF25" s="45">
        <f t="shared" si="18"/>
        <v>0.84</v>
      </c>
      <c r="AG25" s="45">
        <f t="shared" si="19"/>
        <v>4.5999999999999996</v>
      </c>
      <c r="AH25" s="45">
        <f t="shared" si="20"/>
        <v>5.4</v>
      </c>
      <c r="AI25" s="46"/>
      <c r="AJ25" s="46">
        <f t="shared" si="21"/>
        <v>0.75</v>
      </c>
      <c r="AK25" s="46">
        <f t="shared" si="22"/>
        <v>5</v>
      </c>
      <c r="AL25" s="46">
        <f t="shared" si="23"/>
        <v>0.66087791999115963</v>
      </c>
      <c r="AM25" s="46">
        <f t="shared" si="24"/>
        <v>2.1770835583548425</v>
      </c>
      <c r="AN25" s="46">
        <f t="shared" si="25"/>
        <v>1.1184322304961816</v>
      </c>
      <c r="AO25" s="46">
        <f t="shared" si="26"/>
        <v>1.1348169316818988</v>
      </c>
      <c r="AP25" s="46">
        <f t="shared" si="27"/>
        <v>0.6578059723382178</v>
      </c>
      <c r="AQ25" s="46">
        <f t="shared" si="28"/>
        <v>0.49026562497877352</v>
      </c>
      <c r="AR25" s="46">
        <f t="shared" si="29"/>
        <v>2.4997895148220484</v>
      </c>
      <c r="AS25" s="47">
        <f t="shared" si="30"/>
        <v>2.6125877793775731</v>
      </c>
      <c r="AT25" s="63">
        <f t="shared" si="31"/>
        <v>0.11279826455552477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</row>
    <row r="26" spans="1:116" ht="14.1" customHeight="1" x14ac:dyDescent="0.2">
      <c r="A26" s="74" t="s">
        <v>25</v>
      </c>
      <c r="B26" s="83">
        <v>95</v>
      </c>
      <c r="C26" s="83">
        <v>106</v>
      </c>
      <c r="D26" s="83">
        <v>100.5</v>
      </c>
      <c r="E26" s="102" t="s">
        <v>20</v>
      </c>
      <c r="F26" s="13"/>
      <c r="G26" s="36">
        <f t="shared" si="41"/>
        <v>1.5949841429424363</v>
      </c>
      <c r="H26" s="36">
        <f t="shared" si="42"/>
        <v>3.8120121016324231</v>
      </c>
      <c r="I26" s="37">
        <f t="shared" si="43"/>
        <v>7.4715437191995493</v>
      </c>
      <c r="J26" s="62">
        <f t="shared" si="44"/>
        <v>1.900623469689966</v>
      </c>
      <c r="K26" s="128">
        <v>2.5</v>
      </c>
      <c r="L26" s="127">
        <v>4.5</v>
      </c>
      <c r="M26" s="121">
        <v>8</v>
      </c>
      <c r="N26" s="121">
        <v>4.5</v>
      </c>
      <c r="O26" s="121">
        <v>8</v>
      </c>
      <c r="P26" s="33">
        <v>103.86</v>
      </c>
      <c r="Q26" s="33">
        <v>108.14</v>
      </c>
      <c r="R26" s="45">
        <f t="shared" si="45"/>
        <v>2.7949541457021977E-2</v>
      </c>
      <c r="S26" s="45">
        <f t="shared" si="46"/>
        <v>2.7955000729265245</v>
      </c>
      <c r="T26" s="45">
        <f t="shared" si="47"/>
        <v>1.5954623382977502</v>
      </c>
      <c r="U26" s="45">
        <f t="shared" si="48"/>
        <v>100.34938963441681</v>
      </c>
      <c r="V26" s="45">
        <f t="shared" si="49"/>
        <v>1.6010367183287866</v>
      </c>
      <c r="W26" s="45">
        <f t="shared" si="50"/>
        <v>1.2763698706382002E-2</v>
      </c>
      <c r="X26" s="45">
        <f t="shared" si="51"/>
        <v>1.6029590636571485</v>
      </c>
      <c r="Y26" s="45">
        <f t="shared" si="40"/>
        <v>100.5</v>
      </c>
      <c r="Z26" s="45"/>
      <c r="AA26" s="45">
        <f t="shared" si="52"/>
        <v>1.5327587207720474</v>
      </c>
      <c r="AB26" s="45">
        <f t="shared" si="53"/>
        <v>1.6731594065422495</v>
      </c>
      <c r="AC26" s="45">
        <f t="shared" si="15"/>
        <v>1.96</v>
      </c>
      <c r="AD26" s="45">
        <f t="shared" si="16"/>
        <v>2.14</v>
      </c>
      <c r="AE26" s="45">
        <f t="shared" si="17"/>
        <v>93.04</v>
      </c>
      <c r="AF26" s="45">
        <f t="shared" si="18"/>
        <v>96.96</v>
      </c>
      <c r="AG26" s="45">
        <f t="shared" si="19"/>
        <v>103.86</v>
      </c>
      <c r="AH26" s="45">
        <f t="shared" si="20"/>
        <v>108.14</v>
      </c>
      <c r="AI26" s="46"/>
      <c r="AJ26" s="46">
        <f t="shared" si="21"/>
        <v>95</v>
      </c>
      <c r="AK26" s="46">
        <f t="shared" si="22"/>
        <v>106</v>
      </c>
      <c r="AL26" s="46">
        <f t="shared" si="23"/>
        <v>4.6086579928563038</v>
      </c>
      <c r="AM26" s="46">
        <f t="shared" si="24"/>
        <v>100.38859260096406</v>
      </c>
      <c r="AN26" s="46">
        <f t="shared" si="25"/>
        <v>2.8063631793698618</v>
      </c>
      <c r="AO26" s="46">
        <f t="shared" si="26"/>
        <v>3.2318960463300055</v>
      </c>
      <c r="AP26" s="46">
        <f t="shared" si="27"/>
        <v>4.6085306274281477</v>
      </c>
      <c r="AQ26" s="46">
        <f t="shared" si="28"/>
        <v>3.2185520408577202E-2</v>
      </c>
      <c r="AR26" s="46">
        <f t="shared" si="29"/>
        <v>2.4997895148220484</v>
      </c>
      <c r="AS26" s="47">
        <f t="shared" si="30"/>
        <v>4.4004129845120143</v>
      </c>
      <c r="AT26" s="63">
        <f t="shared" si="31"/>
        <v>1.900623469689966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</row>
    <row r="27" spans="1:116" ht="14.1" customHeight="1" x14ac:dyDescent="0.2">
      <c r="A27" s="74" t="s">
        <v>153</v>
      </c>
      <c r="B27" s="87">
        <v>3.9</v>
      </c>
      <c r="C27" s="87">
        <v>5.9</v>
      </c>
      <c r="D27" s="83">
        <v>4.9000000000000004</v>
      </c>
      <c r="E27" s="105" t="s">
        <v>20</v>
      </c>
      <c r="F27" s="17"/>
      <c r="G27" s="36">
        <f t="shared" si="41"/>
        <v>3.2020705323609411</v>
      </c>
      <c r="H27" s="36">
        <f t="shared" si="42"/>
        <v>7.6529485723426491</v>
      </c>
      <c r="I27" s="37">
        <f t="shared" si="43"/>
        <v>14.999779201791592</v>
      </c>
      <c r="J27" s="62">
        <f t="shared" si="44"/>
        <v>0.51353516573389157</v>
      </c>
      <c r="K27" s="128">
        <v>4</v>
      </c>
      <c r="L27" s="127">
        <v>7</v>
      </c>
      <c r="M27" s="121">
        <v>13</v>
      </c>
      <c r="N27" s="121">
        <v>7</v>
      </c>
      <c r="O27" s="121">
        <v>13</v>
      </c>
      <c r="P27" s="33">
        <v>5.67</v>
      </c>
      <c r="Q27" s="33">
        <v>6.1300000000000008</v>
      </c>
      <c r="R27" s="45">
        <f t="shared" si="45"/>
        <v>0.10560607086124316</v>
      </c>
      <c r="S27" s="45">
        <f t="shared" si="46"/>
        <v>10.59012028250071</v>
      </c>
      <c r="T27" s="45">
        <f t="shared" si="47"/>
        <v>3.2156057411474919</v>
      </c>
      <c r="U27" s="45">
        <f t="shared" si="48"/>
        <v>4.7968739820845832</v>
      </c>
      <c r="V27" s="45">
        <f t="shared" si="49"/>
        <v>0.15424855516352218</v>
      </c>
      <c r="W27" s="45">
        <f t="shared" si="50"/>
        <v>2.5724845929179938E-2</v>
      </c>
      <c r="X27" s="45">
        <f t="shared" si="51"/>
        <v>0.15690145608568612</v>
      </c>
      <c r="Y27" s="45">
        <f t="shared" si="40"/>
        <v>4.9000000000000004</v>
      </c>
      <c r="Z27" s="45"/>
      <c r="AA27" s="45">
        <f t="shared" si="52"/>
        <v>0.1311766101565062</v>
      </c>
      <c r="AB27" s="45">
        <f t="shared" si="53"/>
        <v>0.18262630201486607</v>
      </c>
      <c r="AC27" s="45">
        <f t="shared" si="15"/>
        <v>0.17</v>
      </c>
      <c r="AD27" s="45">
        <f t="shared" si="16"/>
        <v>0.23</v>
      </c>
      <c r="AE27" s="45">
        <f t="shared" si="17"/>
        <v>3.73</v>
      </c>
      <c r="AF27" s="45">
        <f t="shared" si="18"/>
        <v>4.07</v>
      </c>
      <c r="AG27" s="45">
        <f t="shared" si="19"/>
        <v>5.67</v>
      </c>
      <c r="AH27" s="45">
        <f t="shared" si="20"/>
        <v>6.1300000000000008</v>
      </c>
      <c r="AI27" s="46"/>
      <c r="AJ27" s="46">
        <f t="shared" si="21"/>
        <v>3.9</v>
      </c>
      <c r="AK27" s="46">
        <f t="shared" si="22"/>
        <v>5.9</v>
      </c>
      <c r="AL27" s="46">
        <f t="shared" si="23"/>
        <v>1.5679644520236371</v>
      </c>
      <c r="AM27" s="46">
        <f t="shared" si="24"/>
        <v>4.8236976107673462</v>
      </c>
      <c r="AN27" s="46">
        <f t="shared" si="25"/>
        <v>0.51083537904437482</v>
      </c>
      <c r="AO27" s="46">
        <f t="shared" si="26"/>
        <v>0.53438829647103858</v>
      </c>
      <c r="AP27" s="46">
        <f t="shared" si="27"/>
        <v>1.5674415826882246</v>
      </c>
      <c r="AQ27" s="46">
        <f t="shared" si="28"/>
        <v>0.11044628048773074</v>
      </c>
      <c r="AR27" s="46">
        <f t="shared" si="29"/>
        <v>2.4997895148220373</v>
      </c>
      <c r="AS27" s="47">
        <f t="shared" si="30"/>
        <v>3.0133246805559288</v>
      </c>
      <c r="AT27" s="63">
        <f t="shared" si="31"/>
        <v>0.51353516573389157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</row>
    <row r="28" spans="1:116" x14ac:dyDescent="0.2">
      <c r="A28" s="74" t="s">
        <v>26</v>
      </c>
      <c r="B28" s="83">
        <v>3.93</v>
      </c>
      <c r="C28" s="83">
        <v>10.8</v>
      </c>
      <c r="D28" s="83">
        <v>7.3650000000000002</v>
      </c>
      <c r="E28" s="102" t="s">
        <v>11</v>
      </c>
      <c r="F28" s="13" t="s">
        <v>83</v>
      </c>
      <c r="G28" s="36">
        <f t="shared" si="41"/>
        <v>4.9787419860054731</v>
      </c>
      <c r="H28" s="36">
        <f t="shared" si="42"/>
        <v>11.899193346553082</v>
      </c>
      <c r="I28" s="37">
        <f t="shared" si="43"/>
        <v>23.32241895924404</v>
      </c>
      <c r="J28" s="62">
        <f t="shared" si="44"/>
        <v>0.2074143344396262</v>
      </c>
      <c r="K28" s="128">
        <v>6</v>
      </c>
      <c r="L28" s="127"/>
      <c r="P28" s="33">
        <v>10.15</v>
      </c>
      <c r="Q28" s="33">
        <v>11.450000000000001</v>
      </c>
      <c r="R28" s="45">
        <f t="shared" si="45"/>
        <v>0.25788436434923578</v>
      </c>
      <c r="S28" s="45">
        <f t="shared" si="46"/>
        <v>26.223197412463456</v>
      </c>
      <c r="T28" s="45">
        <f t="shared" si="47"/>
        <v>5.096390625968878</v>
      </c>
      <c r="U28" s="45">
        <f t="shared" si="48"/>
        <v>6.5149059855073892</v>
      </c>
      <c r="V28" s="45">
        <f t="shared" si="49"/>
        <v>0.33202505793608394</v>
      </c>
      <c r="W28" s="45">
        <f t="shared" si="50"/>
        <v>4.0771125007751027E-2</v>
      </c>
      <c r="X28" s="45">
        <f t="shared" si="51"/>
        <v>0.3666843472693031</v>
      </c>
      <c r="Y28" s="45">
        <f t="shared" si="40"/>
        <v>7.3650000000000002</v>
      </c>
      <c r="Z28" s="45"/>
      <c r="AA28" s="45">
        <f t="shared" si="52"/>
        <v>0.22663553286767835</v>
      </c>
      <c r="AB28" s="45">
        <f t="shared" si="53"/>
        <v>0.50673316167092786</v>
      </c>
      <c r="AC28" s="45">
        <f t="shared" si="15"/>
        <v>0.28999999999999998</v>
      </c>
      <c r="AD28" s="45">
        <f t="shared" si="16"/>
        <v>0.65</v>
      </c>
      <c r="AE28" s="45">
        <f t="shared" si="17"/>
        <v>3.64</v>
      </c>
      <c r="AF28" s="45">
        <f t="shared" si="18"/>
        <v>4.22</v>
      </c>
      <c r="AG28" s="45">
        <f t="shared" si="19"/>
        <v>10.15</v>
      </c>
      <c r="AH28" s="45">
        <f t="shared" si="20"/>
        <v>11.450000000000001</v>
      </c>
      <c r="AI28" s="46"/>
      <c r="AJ28" s="46">
        <f t="shared" si="21"/>
        <v>3.93</v>
      </c>
      <c r="AK28" s="46">
        <f t="shared" si="22"/>
        <v>10.8</v>
      </c>
      <c r="AL28" s="46">
        <f t="shared" si="23"/>
        <v>1.8740927800056719</v>
      </c>
      <c r="AM28" s="46">
        <f t="shared" si="24"/>
        <v>6.7351828094494364</v>
      </c>
      <c r="AN28" s="46">
        <f t="shared" si="25"/>
        <v>1.7661802842122281</v>
      </c>
      <c r="AO28" s="46">
        <f t="shared" si="26"/>
        <v>1.8038431769065464</v>
      </c>
      <c r="AP28" s="46">
        <f t="shared" si="27"/>
        <v>1.8727080280977224</v>
      </c>
      <c r="AQ28" s="46">
        <f t="shared" si="28"/>
        <v>0.26319925758198554</v>
      </c>
      <c r="AR28" s="46">
        <f t="shared" si="29"/>
        <v>2.4997895148220484</v>
      </c>
      <c r="AS28" s="47">
        <f t="shared" si="30"/>
        <v>2.7072038492616746</v>
      </c>
      <c r="AT28" s="63">
        <f t="shared" si="31"/>
        <v>0.2074143344396262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</row>
    <row r="29" spans="1:116" x14ac:dyDescent="0.2">
      <c r="A29" s="74" t="s">
        <v>27</v>
      </c>
      <c r="B29" s="83">
        <v>138</v>
      </c>
      <c r="C29" s="83">
        <v>690</v>
      </c>
      <c r="D29" s="83">
        <v>414</v>
      </c>
      <c r="E29" s="102" t="s">
        <v>28</v>
      </c>
      <c r="F29" s="13" t="s">
        <v>85</v>
      </c>
      <c r="G29" s="36">
        <f t="shared" si="41"/>
        <v>6.194436596180755</v>
      </c>
      <c r="H29" s="36">
        <f t="shared" si="42"/>
        <v>14.804703464872006</v>
      </c>
      <c r="I29" s="37">
        <f t="shared" si="43"/>
        <v>29.01721879114913</v>
      </c>
      <c r="J29" s="62">
        <f t="shared" si="44"/>
        <v>0.13184260349775601</v>
      </c>
      <c r="K29" s="128">
        <v>11</v>
      </c>
      <c r="L29" s="127">
        <v>16</v>
      </c>
      <c r="M29" s="121">
        <v>30</v>
      </c>
      <c r="N29" s="121">
        <v>16</v>
      </c>
      <c r="O29" s="121">
        <v>30</v>
      </c>
      <c r="P29" s="33">
        <v>638.73</v>
      </c>
      <c r="Q29" s="33">
        <v>741.27</v>
      </c>
      <c r="R29" s="45">
        <f t="shared" si="45"/>
        <v>0.41057089602910707</v>
      </c>
      <c r="S29" s="45">
        <f t="shared" si="46"/>
        <v>42.849650494402979</v>
      </c>
      <c r="T29" s="45">
        <f t="shared" si="47"/>
        <v>6.5268407744024968</v>
      </c>
      <c r="U29" s="45">
        <f t="shared" si="48"/>
        <v>308.57738089497099</v>
      </c>
      <c r="V29" s="45">
        <f t="shared" si="49"/>
        <v>20.140354316836266</v>
      </c>
      <c r="W29" s="45">
        <f t="shared" si="50"/>
        <v>5.2214726195219968E-2</v>
      </c>
      <c r="X29" s="45">
        <f t="shared" si="51"/>
        <v>25.644967508188323</v>
      </c>
      <c r="Y29" s="45">
        <f t="shared" si="40"/>
        <v>414</v>
      </c>
      <c r="Z29" s="45"/>
      <c r="AA29" s="45">
        <f t="shared" si="52"/>
        <v>11.23370307830761</v>
      </c>
      <c r="AB29" s="45">
        <f t="shared" si="53"/>
        <v>40.056231938069033</v>
      </c>
      <c r="AC29" s="45">
        <f t="shared" si="15"/>
        <v>14.38</v>
      </c>
      <c r="AD29" s="45">
        <f t="shared" si="16"/>
        <v>51.27</v>
      </c>
      <c r="AE29" s="45">
        <f t="shared" si="17"/>
        <v>123.62</v>
      </c>
      <c r="AF29" s="45">
        <f t="shared" si="18"/>
        <v>152.38</v>
      </c>
      <c r="AG29" s="45">
        <f t="shared" si="19"/>
        <v>638.73</v>
      </c>
      <c r="AH29" s="45">
        <f t="shared" si="20"/>
        <v>741.27</v>
      </c>
      <c r="AI29" s="46"/>
      <c r="AJ29" s="46">
        <f t="shared" si="21"/>
        <v>138</v>
      </c>
      <c r="AK29" s="46">
        <f t="shared" si="22"/>
        <v>690</v>
      </c>
      <c r="AL29" s="46">
        <f t="shared" si="23"/>
        <v>5.7319726413742549</v>
      </c>
      <c r="AM29" s="46">
        <f t="shared" si="24"/>
        <v>335.71308171893378</v>
      </c>
      <c r="AN29" s="46">
        <f t="shared" si="25"/>
        <v>143.85188218055259</v>
      </c>
      <c r="AO29" s="46">
        <f t="shared" si="26"/>
        <v>146.1199109135494</v>
      </c>
      <c r="AP29" s="46">
        <f t="shared" si="27"/>
        <v>5.7295136270708875</v>
      </c>
      <c r="AQ29" s="46">
        <f t="shared" si="28"/>
        <v>0.41651709361426997</v>
      </c>
      <c r="AR29" s="46">
        <f t="shared" si="29"/>
        <v>2.4997895148220484</v>
      </c>
      <c r="AS29" s="47">
        <f t="shared" si="30"/>
        <v>2.6316321183198044</v>
      </c>
      <c r="AT29" s="63">
        <f t="shared" si="31"/>
        <v>0.13184260349775601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</row>
    <row r="30" spans="1:116" x14ac:dyDescent="0.2">
      <c r="A30" s="74" t="s">
        <v>29</v>
      </c>
      <c r="B30" s="83">
        <v>49</v>
      </c>
      <c r="C30" s="95">
        <v>97</v>
      </c>
      <c r="D30" s="83">
        <v>73</v>
      </c>
      <c r="E30" s="106" t="s">
        <v>18</v>
      </c>
      <c r="F30" s="19" t="s">
        <v>86</v>
      </c>
      <c r="G30" s="36">
        <f t="shared" si="41"/>
        <v>4.1135230491900669</v>
      </c>
      <c r="H30" s="36">
        <f t="shared" si="42"/>
        <v>9.8313200875642597</v>
      </c>
      <c r="I30" s="37">
        <f t="shared" si="43"/>
        <v>19.26938737162595</v>
      </c>
      <c r="J30" s="62">
        <f t="shared" si="44"/>
        <v>0.3082058534888299</v>
      </c>
      <c r="K30" s="128">
        <v>6</v>
      </c>
      <c r="L30" s="127">
        <v>11.5</v>
      </c>
      <c r="M30" s="121">
        <v>20</v>
      </c>
      <c r="N30" s="121">
        <v>11.5</v>
      </c>
      <c r="O30" s="121">
        <v>20</v>
      </c>
      <c r="P30" s="33">
        <v>92.13</v>
      </c>
      <c r="Q30" s="33">
        <v>101.87</v>
      </c>
      <c r="R30" s="45">
        <f t="shared" si="45"/>
        <v>0.17420680622264192</v>
      </c>
      <c r="S30" s="45">
        <f t="shared" si="46"/>
        <v>17.5536908421543</v>
      </c>
      <c r="T30" s="45">
        <f t="shared" si="47"/>
        <v>4.1597705275837393</v>
      </c>
      <c r="U30" s="45">
        <f t="shared" si="48"/>
        <v>68.942004612572731</v>
      </c>
      <c r="V30" s="45">
        <f t="shared" si="49"/>
        <v>2.8678291889992229</v>
      </c>
      <c r="W30" s="45">
        <f t="shared" si="50"/>
        <v>3.3278164220669919E-2</v>
      </c>
      <c r="X30" s="45">
        <f t="shared" si="51"/>
        <v>3.0028718259087483</v>
      </c>
      <c r="Y30" s="45">
        <f t="shared" si="40"/>
        <v>73</v>
      </c>
      <c r="Z30" s="45"/>
      <c r="AA30" s="45">
        <f t="shared" si="52"/>
        <v>2.2041958846126706</v>
      </c>
      <c r="AB30" s="45">
        <f t="shared" si="53"/>
        <v>3.8015477672048266</v>
      </c>
      <c r="AC30" s="45">
        <f t="shared" si="15"/>
        <v>2.82</v>
      </c>
      <c r="AD30" s="45">
        <f t="shared" si="16"/>
        <v>4.87</v>
      </c>
      <c r="AE30" s="45">
        <f t="shared" si="17"/>
        <v>46.18</v>
      </c>
      <c r="AF30" s="45">
        <f t="shared" si="18"/>
        <v>51.82</v>
      </c>
      <c r="AG30" s="45">
        <f t="shared" si="19"/>
        <v>92.13</v>
      </c>
      <c r="AH30" s="45">
        <f t="shared" si="20"/>
        <v>101.87</v>
      </c>
      <c r="AI30" s="46"/>
      <c r="AJ30" s="46">
        <f t="shared" si="21"/>
        <v>49</v>
      </c>
      <c r="AK30" s="46">
        <f t="shared" si="22"/>
        <v>97</v>
      </c>
      <c r="AL30" s="46">
        <f t="shared" si="23"/>
        <v>4.2332656383070049</v>
      </c>
      <c r="AM30" s="46">
        <f t="shared" si="24"/>
        <v>69.996108242923583</v>
      </c>
      <c r="AN30" s="46">
        <f t="shared" si="25"/>
        <v>12.286900442502487</v>
      </c>
      <c r="AO30" s="46">
        <f t="shared" si="26"/>
        <v>12.648524091244969</v>
      </c>
      <c r="AP30" s="46">
        <f t="shared" si="27"/>
        <v>4.2323737131427199</v>
      </c>
      <c r="AQ30" s="46">
        <f t="shared" si="28"/>
        <v>0.17925362384862414</v>
      </c>
      <c r="AR30" s="46">
        <f t="shared" si="29"/>
        <v>2.4997895148220484</v>
      </c>
      <c r="AS30" s="47">
        <f t="shared" si="30"/>
        <v>2.8079953683108783</v>
      </c>
      <c r="AT30" s="63">
        <f t="shared" si="31"/>
        <v>0.3082058534888299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</row>
    <row r="31" spans="1:116" x14ac:dyDescent="0.2">
      <c r="A31" s="74" t="s">
        <v>30</v>
      </c>
      <c r="B31" s="83">
        <v>25</v>
      </c>
      <c r="C31" s="83">
        <v>150</v>
      </c>
      <c r="D31" s="83">
        <v>87.5</v>
      </c>
      <c r="E31" s="102" t="s">
        <v>11</v>
      </c>
      <c r="F31" s="13" t="s">
        <v>83</v>
      </c>
      <c r="G31" s="36">
        <f t="shared" si="41"/>
        <v>6.5091043922029774</v>
      </c>
      <c r="H31" s="36">
        <f t="shared" si="42"/>
        <v>15.556759497365118</v>
      </c>
      <c r="I31" s="37">
        <f t="shared" si="43"/>
        <v>30.49124861483563</v>
      </c>
      <c r="J31" s="62">
        <f t="shared" si="44"/>
        <v>0.11907580625319936</v>
      </c>
      <c r="K31" s="128">
        <v>5</v>
      </c>
      <c r="L31" s="127">
        <v>11</v>
      </c>
      <c r="M31" s="121">
        <v>20</v>
      </c>
      <c r="N31" s="121">
        <v>11</v>
      </c>
      <c r="O31" s="121">
        <v>20</v>
      </c>
      <c r="P31" s="33">
        <v>138.28</v>
      </c>
      <c r="Q31" s="33">
        <v>161.72</v>
      </c>
      <c r="R31" s="45">
        <f t="shared" si="45"/>
        <v>0.45708149725205482</v>
      </c>
      <c r="S31" s="45">
        <f t="shared" si="46"/>
        <v>48.202771091788662</v>
      </c>
      <c r="T31" s="45">
        <f t="shared" si="47"/>
        <v>6.924793938579592</v>
      </c>
      <c r="U31" s="45">
        <f t="shared" si="48"/>
        <v>61.237243569579455</v>
      </c>
      <c r="V31" s="45">
        <f t="shared" si="49"/>
        <v>4.2405529308594589</v>
      </c>
      <c r="W31" s="45">
        <f t="shared" si="50"/>
        <v>5.5398351508636735E-2</v>
      </c>
      <c r="X31" s="45">
        <f t="shared" si="51"/>
        <v>5.695466343177606</v>
      </c>
      <c r="Y31" s="45">
        <f t="shared" si="40"/>
        <v>87.5</v>
      </c>
      <c r="Z31" s="45"/>
      <c r="AA31" s="45">
        <f t="shared" si="52"/>
        <v>2.23306937388781</v>
      </c>
      <c r="AB31" s="45">
        <f t="shared" si="53"/>
        <v>9.157863312467402</v>
      </c>
      <c r="AC31" s="45">
        <f t="shared" si="15"/>
        <v>2.86</v>
      </c>
      <c r="AD31" s="45">
        <f t="shared" si="16"/>
        <v>11.72</v>
      </c>
      <c r="AE31" s="45">
        <f t="shared" si="17"/>
        <v>22.14</v>
      </c>
      <c r="AF31" s="45">
        <f t="shared" si="18"/>
        <v>27.86</v>
      </c>
      <c r="AG31" s="45">
        <f t="shared" si="19"/>
        <v>138.28</v>
      </c>
      <c r="AH31" s="45">
        <f t="shared" si="20"/>
        <v>161.72</v>
      </c>
      <c r="AI31" s="46"/>
      <c r="AJ31" s="46">
        <f t="shared" si="21"/>
        <v>25</v>
      </c>
      <c r="AK31" s="46">
        <f t="shared" si="22"/>
        <v>150</v>
      </c>
      <c r="AL31" s="46">
        <f t="shared" si="23"/>
        <v>4.1147555594822283</v>
      </c>
      <c r="AM31" s="46">
        <f t="shared" si="24"/>
        <v>67.980255794221378</v>
      </c>
      <c r="AN31" s="46">
        <f t="shared" si="25"/>
        <v>32.768367088100931</v>
      </c>
      <c r="AO31" s="46">
        <f t="shared" si="26"/>
        <v>33.259648502153553</v>
      </c>
      <c r="AP31" s="46">
        <f t="shared" si="27"/>
        <v>4.1119157136700757</v>
      </c>
      <c r="AQ31" s="46">
        <f t="shared" si="28"/>
        <v>0.46325283243007298</v>
      </c>
      <c r="AR31" s="46">
        <f t="shared" si="29"/>
        <v>2.4997895148220484</v>
      </c>
      <c r="AS31" s="47">
        <f t="shared" si="30"/>
        <v>2.6188653210752477</v>
      </c>
      <c r="AT31" s="63">
        <f t="shared" si="31"/>
        <v>0.11907580625319936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</row>
    <row r="32" spans="1:116" s="3" customFormat="1" x14ac:dyDescent="0.2">
      <c r="A32" s="74" t="s">
        <v>193</v>
      </c>
      <c r="B32" s="83">
        <v>100</v>
      </c>
      <c r="C32" s="89">
        <v>300</v>
      </c>
      <c r="D32" s="98">
        <f>(B32+C32)/2</f>
        <v>200</v>
      </c>
      <c r="E32" s="99" t="s">
        <v>15</v>
      </c>
      <c r="F32" s="11"/>
      <c r="G32" s="36"/>
      <c r="H32" s="36"/>
      <c r="I32" s="37"/>
      <c r="J32" s="62">
        <f t="shared" si="44"/>
        <v>0.19095850525744362</v>
      </c>
      <c r="K32" s="128"/>
      <c r="L32" s="127"/>
      <c r="M32" s="121"/>
      <c r="N32" s="121">
        <v>25</v>
      </c>
      <c r="O32" s="121"/>
      <c r="P32" s="33"/>
      <c r="Q32" s="33"/>
      <c r="R32" s="45">
        <f t="shared" si="45"/>
        <v>0.28025823690512985</v>
      </c>
      <c r="S32" s="45">
        <f t="shared" si="46"/>
        <v>28.585255685577405</v>
      </c>
      <c r="T32" s="45">
        <f t="shared" si="47"/>
        <v>5.3230870447116869</v>
      </c>
      <c r="U32" s="45">
        <f t="shared" si="48"/>
        <v>173.20508075688772</v>
      </c>
      <c r="V32" s="45">
        <f t="shared" si="49"/>
        <v>9.2198572145523059</v>
      </c>
      <c r="W32" s="45">
        <f t="shared" si="50"/>
        <v>4.2584696357693498E-2</v>
      </c>
      <c r="X32" s="45">
        <f t="shared" si="51"/>
        <v>10.360910714449162</v>
      </c>
      <c r="Y32" s="45">
        <f t="shared" si="40"/>
        <v>200</v>
      </c>
      <c r="Z32" s="45"/>
      <c r="AA32" s="45">
        <f t="shared" si="52"/>
        <v>6.1024410786798109</v>
      </c>
      <c r="AB32" s="45">
        <f t="shared" si="53"/>
        <v>14.619380350218512</v>
      </c>
      <c r="AC32" s="45">
        <f t="shared" si="15"/>
        <v>7.81</v>
      </c>
      <c r="AD32" s="45">
        <f t="shared" si="16"/>
        <v>18.71</v>
      </c>
      <c r="AE32" s="45">
        <f t="shared" si="17"/>
        <v>92.19</v>
      </c>
      <c r="AF32" s="45">
        <f t="shared" si="18"/>
        <v>107.81</v>
      </c>
      <c r="AG32" s="45">
        <f t="shared" si="19"/>
        <v>281.29000000000002</v>
      </c>
      <c r="AH32" s="45">
        <f t="shared" si="20"/>
        <v>318.70999999999998</v>
      </c>
      <c r="AI32" s="46"/>
      <c r="AJ32" s="46">
        <f t="shared" si="21"/>
        <v>100</v>
      </c>
      <c r="AK32" s="46">
        <f t="shared" si="22"/>
        <v>300</v>
      </c>
      <c r="AL32" s="46">
        <f t="shared" si="23"/>
        <v>5.1544763303221464</v>
      </c>
      <c r="AM32" s="46">
        <f t="shared" si="24"/>
        <v>180.14258388240555</v>
      </c>
      <c r="AN32" s="46">
        <f t="shared" si="25"/>
        <v>51.494218201391377</v>
      </c>
      <c r="AO32" s="46">
        <f t="shared" si="26"/>
        <v>52.526212304003934</v>
      </c>
      <c r="AP32" s="46">
        <f t="shared" si="27"/>
        <v>5.1529496139703417</v>
      </c>
      <c r="AQ32" s="46">
        <f t="shared" si="28"/>
        <v>0.28565383256098736</v>
      </c>
      <c r="AR32" s="46">
        <f t="shared" si="29"/>
        <v>2.4997895148220373</v>
      </c>
      <c r="AS32" s="47">
        <f t="shared" si="30"/>
        <v>2.6907480200794809</v>
      </c>
      <c r="AT32" s="63">
        <f t="shared" si="31"/>
        <v>0.19095850525744362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</row>
    <row r="33" spans="1:116" x14ac:dyDescent="0.2">
      <c r="A33" s="74" t="s">
        <v>194</v>
      </c>
      <c r="B33" s="83">
        <v>0.75</v>
      </c>
      <c r="C33" s="89">
        <v>0.99</v>
      </c>
      <c r="D33" s="98">
        <f t="shared" ref="D33:D35" si="54">(B33+C33)/2</f>
        <v>0.87</v>
      </c>
      <c r="E33" s="99" t="s">
        <v>23</v>
      </c>
      <c r="F33" s="11"/>
      <c r="G33" s="36"/>
      <c r="H33" s="36"/>
      <c r="I33" s="37"/>
      <c r="J33" s="62"/>
      <c r="K33" s="128"/>
      <c r="L33" s="127"/>
      <c r="N33" s="121">
        <v>13</v>
      </c>
      <c r="P33" s="33"/>
      <c r="Q33" s="33"/>
      <c r="R33" s="45">
        <f t="shared" si="45"/>
        <v>7.0824422601601905E-2</v>
      </c>
      <c r="S33" s="45">
        <f t="shared" si="46"/>
        <v>7.0913331061538463</v>
      </c>
      <c r="T33" s="45">
        <f t="shared" si="47"/>
        <v>2.6155942166463526</v>
      </c>
      <c r="U33" s="45">
        <f t="shared" si="48"/>
        <v>0.86168439698070431</v>
      </c>
      <c r="V33" s="45">
        <f t="shared" si="49"/>
        <v>2.2538167253171301E-2</v>
      </c>
      <c r="W33" s="45">
        <f t="shared" si="50"/>
        <v>2.0924753733170823E-2</v>
      </c>
      <c r="X33" s="45">
        <f t="shared" si="51"/>
        <v>2.2712169198492876E-2</v>
      </c>
      <c r="Y33" s="45">
        <f t="shared" si="40"/>
        <v>0.87</v>
      </c>
      <c r="Z33" s="45"/>
      <c r="AA33" s="45"/>
      <c r="AB33" s="45"/>
      <c r="AC33" s="45">
        <f t="shared" si="15"/>
        <v>0</v>
      </c>
      <c r="AD33" s="45">
        <f t="shared" si="16"/>
        <v>0</v>
      </c>
      <c r="AE33" s="45">
        <f t="shared" si="17"/>
        <v>0.75</v>
      </c>
      <c r="AF33" s="45">
        <f t="shared" si="18"/>
        <v>0.75</v>
      </c>
      <c r="AG33" s="45">
        <f t="shared" si="19"/>
        <v>0.99</v>
      </c>
      <c r="AH33" s="45">
        <f t="shared" si="20"/>
        <v>0.99</v>
      </c>
      <c r="AI33" s="46"/>
      <c r="AJ33" s="46">
        <f t="shared" si="21"/>
        <v>0.75</v>
      </c>
      <c r="AK33" s="46">
        <f t="shared" si="22"/>
        <v>0.99</v>
      </c>
      <c r="AL33" s="46">
        <f t="shared" si="23"/>
        <v>-0.14886620415264118</v>
      </c>
      <c r="AM33" s="46">
        <f t="shared" si="24"/>
        <v>0.86384825643035579</v>
      </c>
      <c r="AN33" s="46">
        <f t="shared" si="25"/>
        <v>6.1258357395178591E-2</v>
      </c>
      <c r="AO33" s="46">
        <f t="shared" si="26"/>
        <v>6.5333214986378868E-2</v>
      </c>
      <c r="AP33" s="46">
        <f t="shared" si="27"/>
        <v>-0.14920998726287735</v>
      </c>
      <c r="AQ33" s="46">
        <f t="shared" si="28"/>
        <v>7.5522612887284402E-2</v>
      </c>
      <c r="AR33" s="46">
        <f t="shared" si="29"/>
        <v>2.4997895148220484</v>
      </c>
      <c r="AS33" s="47">
        <f t="shared" si="30"/>
        <v>3.2692087120336888</v>
      </c>
      <c r="AT33" s="63">
        <f t="shared" si="31"/>
        <v>0.76941919721164043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</row>
    <row r="34" spans="1:116" x14ac:dyDescent="0.2">
      <c r="A34" s="74" t="s">
        <v>195</v>
      </c>
      <c r="B34" s="83">
        <v>50</v>
      </c>
      <c r="C34" s="89">
        <v>500</v>
      </c>
      <c r="D34" s="98">
        <f t="shared" si="54"/>
        <v>275</v>
      </c>
      <c r="E34" s="99" t="s">
        <v>226</v>
      </c>
      <c r="F34" s="11"/>
      <c r="G34" s="36"/>
      <c r="H34" s="36"/>
      <c r="I34" s="37"/>
      <c r="J34" s="62"/>
      <c r="K34" s="128"/>
      <c r="L34" s="127"/>
      <c r="N34" s="121">
        <v>20</v>
      </c>
      <c r="P34" s="33"/>
      <c r="Q34" s="33"/>
      <c r="R34" s="45">
        <f t="shared" si="45"/>
        <v>0.58739415637603198</v>
      </c>
      <c r="S34" s="45">
        <f t="shared" si="46"/>
        <v>64.189949036144739</v>
      </c>
      <c r="T34" s="45">
        <f t="shared" si="47"/>
        <v>7.9962459339457999</v>
      </c>
      <c r="U34" s="45">
        <f t="shared" si="48"/>
        <v>158.11388300841898</v>
      </c>
      <c r="V34" s="45">
        <f t="shared" si="49"/>
        <v>12.643174941064522</v>
      </c>
      <c r="W34" s="45">
        <f t="shared" si="50"/>
        <v>6.3969967471566413E-2</v>
      </c>
      <c r="X34" s="45">
        <f t="shared" si="51"/>
        <v>20.120376042893668</v>
      </c>
      <c r="Y34" s="45">
        <f t="shared" si="40"/>
        <v>275</v>
      </c>
      <c r="Z34" s="45"/>
      <c r="AA34" s="45"/>
      <c r="AB34" s="45"/>
      <c r="AC34" s="45">
        <f t="shared" si="15"/>
        <v>0</v>
      </c>
      <c r="AD34" s="45">
        <f t="shared" si="16"/>
        <v>0</v>
      </c>
      <c r="AE34" s="45">
        <f t="shared" si="17"/>
        <v>50</v>
      </c>
      <c r="AF34" s="45">
        <f t="shared" si="18"/>
        <v>50</v>
      </c>
      <c r="AG34" s="45">
        <f t="shared" si="19"/>
        <v>500</v>
      </c>
      <c r="AH34" s="45">
        <f t="shared" si="20"/>
        <v>500</v>
      </c>
      <c r="AI34" s="46"/>
      <c r="AJ34" s="46">
        <f t="shared" si="21"/>
        <v>50</v>
      </c>
      <c r="AK34" s="46">
        <f t="shared" si="22"/>
        <v>500</v>
      </c>
      <c r="AL34" s="46">
        <f t="shared" si="23"/>
        <v>5.0633155519251689</v>
      </c>
      <c r="AM34" s="46">
        <f t="shared" si="24"/>
        <v>187.88526789814355</v>
      </c>
      <c r="AN34" s="46">
        <f t="shared" si="25"/>
        <v>120.60345771024237</v>
      </c>
      <c r="AO34" s="46">
        <f t="shared" si="26"/>
        <v>122.27028888398713</v>
      </c>
      <c r="AP34" s="46">
        <f t="shared" si="27"/>
        <v>5.0592711561934216</v>
      </c>
      <c r="AQ34" s="46">
        <f t="shared" si="28"/>
        <v>0.59423958670573707</v>
      </c>
      <c r="AR34" s="46">
        <f t="shared" si="29"/>
        <v>2.4997895148220484</v>
      </c>
      <c r="AS34" s="47">
        <f t="shared" si="30"/>
        <v>2.5934011864934603</v>
      </c>
      <c r="AT34" s="63">
        <f t="shared" si="31"/>
        <v>9.3611671671411933E-2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</row>
    <row r="35" spans="1:116" s="3" customFormat="1" ht="15" customHeight="1" x14ac:dyDescent="0.2">
      <c r="A35" s="74" t="s">
        <v>32</v>
      </c>
      <c r="B35" s="83">
        <v>10</v>
      </c>
      <c r="C35" s="83">
        <v>25</v>
      </c>
      <c r="D35" s="98">
        <f t="shared" si="54"/>
        <v>17.5</v>
      </c>
      <c r="E35" s="103" t="s">
        <v>15</v>
      </c>
      <c r="F35" s="13"/>
      <c r="G35" s="36">
        <f>(X35*100)/D35</f>
        <v>4.7488356684793036</v>
      </c>
      <c r="H35" s="36">
        <f>G35*2.39</f>
        <v>11.349717247665536</v>
      </c>
      <c r="I35" s="37">
        <f>H35*1.96</f>
        <v>22.245445805424449</v>
      </c>
      <c r="J35" s="62">
        <f>AT35</f>
        <v>0.2288554451474023</v>
      </c>
      <c r="K35" s="128">
        <v>10</v>
      </c>
      <c r="L35" s="127">
        <v>15.5</v>
      </c>
      <c r="M35" s="121">
        <v>30</v>
      </c>
      <c r="N35" s="121">
        <v>15.5</v>
      </c>
      <c r="O35" s="121">
        <v>30</v>
      </c>
      <c r="P35" s="33">
        <v>23.56</v>
      </c>
      <c r="Q35" s="33">
        <v>26.44</v>
      </c>
      <c r="R35" s="45">
        <f t="shared" ref="R35:R42" si="55">(LN(C35)-LN(B35))/3.92</f>
        <v>0.23374763568218232</v>
      </c>
      <c r="S35" s="45">
        <f t="shared" ref="S35:S42" si="56">100*(EXP(R35^2)-1)^0.5</f>
        <v>23.697715285232317</v>
      </c>
      <c r="T35" s="45">
        <f t="shared" ref="T35:T42" si="57">(S35-0.25)^0.5</f>
        <v>4.8422840979471991</v>
      </c>
      <c r="U35" s="45">
        <f t="shared" ref="U35:U42" si="58">(B35*C35)^0.5</f>
        <v>15.811388300841896</v>
      </c>
      <c r="V35" s="45">
        <f t="shared" ref="V35:V42" si="59">T35*U35*0.01</f>
        <v>0.76563234135635105</v>
      </c>
      <c r="W35" s="45">
        <f t="shared" ref="W35:W42" si="60">(V35-0.2*V35)/U35</f>
        <v>3.8738272783577596E-2</v>
      </c>
      <c r="X35" s="45">
        <f t="shared" ref="X35:X42" si="61">(D35*W35)+(0.2*V35)</f>
        <v>0.83104624198387811</v>
      </c>
      <c r="Y35" s="45">
        <f t="shared" si="40"/>
        <v>17.5</v>
      </c>
      <c r="Z35" s="45"/>
      <c r="AA35" s="45">
        <f>(B35*W35)+(0.2*V35)</f>
        <v>0.54050919610704617</v>
      </c>
      <c r="AB35" s="45">
        <f>(C35*W35)+(0.2*V35)</f>
        <v>1.1215832878607102</v>
      </c>
      <c r="AC35" s="45">
        <f t="shared" si="15"/>
        <v>0.69</v>
      </c>
      <c r="AD35" s="45">
        <f t="shared" si="16"/>
        <v>1.44</v>
      </c>
      <c r="AE35" s="45">
        <f t="shared" si="17"/>
        <v>9.31</v>
      </c>
      <c r="AF35" s="45">
        <f t="shared" si="18"/>
        <v>10.69</v>
      </c>
      <c r="AG35" s="45">
        <f t="shared" si="19"/>
        <v>23.56</v>
      </c>
      <c r="AH35" s="45">
        <f t="shared" si="20"/>
        <v>26.44</v>
      </c>
      <c r="AI35" s="46"/>
      <c r="AJ35" s="46">
        <f t="shared" si="21"/>
        <v>10</v>
      </c>
      <c r="AK35" s="46">
        <f t="shared" si="22"/>
        <v>25</v>
      </c>
      <c r="AL35" s="46">
        <f t="shared" si="23"/>
        <v>2.760730458931123</v>
      </c>
      <c r="AM35" s="46">
        <f t="shared" si="24"/>
        <v>16.24929360752332</v>
      </c>
      <c r="AN35" s="46">
        <f t="shared" si="25"/>
        <v>3.8507113349723312</v>
      </c>
      <c r="AO35" s="46">
        <f t="shared" si="26"/>
        <v>3.9393674164261347</v>
      </c>
      <c r="AP35" s="46">
        <f t="shared" si="27"/>
        <v>2.7594936995296107</v>
      </c>
      <c r="AQ35" s="46">
        <f t="shared" si="28"/>
        <v>0.23898007446235955</v>
      </c>
      <c r="AR35" s="46">
        <f t="shared" si="29"/>
        <v>2.4997895148220373</v>
      </c>
      <c r="AS35" s="47">
        <f t="shared" si="30"/>
        <v>2.7286449599694396</v>
      </c>
      <c r="AT35" s="63">
        <f t="shared" si="31"/>
        <v>0.2288554451474023</v>
      </c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</row>
    <row r="36" spans="1:116" ht="15" customHeight="1" x14ac:dyDescent="0.2">
      <c r="A36" s="74" t="s">
        <v>31</v>
      </c>
      <c r="B36" s="83">
        <v>0.8</v>
      </c>
      <c r="C36" s="83">
        <v>2</v>
      </c>
      <c r="D36" s="83">
        <v>1.4</v>
      </c>
      <c r="E36" s="103" t="s">
        <v>15</v>
      </c>
      <c r="F36" s="13"/>
      <c r="G36" s="36">
        <f>(X36*100)/D36</f>
        <v>4.7488356684793027</v>
      </c>
      <c r="H36" s="36">
        <f>G36*2.39</f>
        <v>11.349717247665534</v>
      </c>
      <c r="I36" s="37">
        <f>H36*1.96</f>
        <v>22.245445805424445</v>
      </c>
      <c r="J36" s="62">
        <f>AT36</f>
        <v>0.2288554451474023</v>
      </c>
      <c r="K36" s="128">
        <v>9</v>
      </c>
      <c r="L36" s="127">
        <v>14</v>
      </c>
      <c r="M36" s="121">
        <v>30</v>
      </c>
      <c r="P36" s="33">
        <v>1.89</v>
      </c>
      <c r="Q36" s="33">
        <v>2.11</v>
      </c>
      <c r="R36" s="45">
        <f t="shared" si="55"/>
        <v>0.2337476356821824</v>
      </c>
      <c r="S36" s="45">
        <f t="shared" si="56"/>
        <v>23.697715285232317</v>
      </c>
      <c r="T36" s="45">
        <f t="shared" si="57"/>
        <v>4.8422840979471991</v>
      </c>
      <c r="U36" s="45">
        <f t="shared" si="58"/>
        <v>1.2649110640673518</v>
      </c>
      <c r="V36" s="45">
        <f t="shared" si="59"/>
        <v>6.1250587308508082E-2</v>
      </c>
      <c r="W36" s="45">
        <f t="shared" si="60"/>
        <v>3.8738272783577589E-2</v>
      </c>
      <c r="X36" s="45">
        <f t="shared" si="61"/>
        <v>6.6483699358710235E-2</v>
      </c>
      <c r="Y36" s="45">
        <f t="shared" si="40"/>
        <v>1.4</v>
      </c>
      <c r="Z36" s="45"/>
      <c r="AA36" s="45">
        <f>(B36*W36)+(0.2*V36)</f>
        <v>4.3240735688563688E-2</v>
      </c>
      <c r="AB36" s="45">
        <f>(C36*W36)+(0.2*V36)</f>
        <v>8.972666302885679E-2</v>
      </c>
      <c r="AC36" s="45">
        <f t="shared" si="15"/>
        <v>0.06</v>
      </c>
      <c r="AD36" s="45">
        <f t="shared" si="16"/>
        <v>0.11</v>
      </c>
      <c r="AE36" s="45">
        <f t="shared" si="17"/>
        <v>0.74</v>
      </c>
      <c r="AF36" s="45">
        <f t="shared" si="18"/>
        <v>0.8600000000000001</v>
      </c>
      <c r="AG36" s="45">
        <f t="shared" si="19"/>
        <v>1.89</v>
      </c>
      <c r="AH36" s="45">
        <f t="shared" si="20"/>
        <v>2.11</v>
      </c>
      <c r="AI36" s="46"/>
      <c r="AJ36" s="46">
        <f t="shared" si="21"/>
        <v>0.8</v>
      </c>
      <c r="AK36" s="46">
        <f t="shared" si="22"/>
        <v>2</v>
      </c>
      <c r="AL36" s="46">
        <f t="shared" si="23"/>
        <v>0.23500181462286779</v>
      </c>
      <c r="AM36" s="46">
        <f t="shared" si="24"/>
        <v>1.2999434886018659</v>
      </c>
      <c r="AN36" s="46">
        <f t="shared" si="25"/>
        <v>0.30805690679778658</v>
      </c>
      <c r="AO36" s="46">
        <f t="shared" si="26"/>
        <v>0.31514939331409086</v>
      </c>
      <c r="AP36" s="46">
        <f t="shared" si="27"/>
        <v>0.23376505522135546</v>
      </c>
      <c r="AQ36" s="46">
        <f t="shared" si="28"/>
        <v>0.23898007446235955</v>
      </c>
      <c r="AR36" s="46">
        <f t="shared" si="29"/>
        <v>2.4997895148220484</v>
      </c>
      <c r="AS36" s="47">
        <f t="shared" si="30"/>
        <v>2.7286449599694507</v>
      </c>
      <c r="AT36" s="63">
        <f t="shared" si="31"/>
        <v>0.2288554451474023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</row>
    <row r="37" spans="1:116" x14ac:dyDescent="0.2">
      <c r="A37" s="74" t="s">
        <v>46</v>
      </c>
      <c r="B37" s="83">
        <v>7.2</v>
      </c>
      <c r="C37" s="97">
        <v>21.5</v>
      </c>
      <c r="D37" s="83">
        <v>14.35</v>
      </c>
      <c r="E37" s="102" t="s">
        <v>18</v>
      </c>
      <c r="F37" s="20" t="s">
        <v>90</v>
      </c>
      <c r="G37" s="36">
        <f>(X37*100)/D37</f>
        <v>5.1700350296093998</v>
      </c>
      <c r="H37" s="36">
        <f>G37*2.39</f>
        <v>12.356383720766466</v>
      </c>
      <c r="I37" s="37">
        <f>H37*1.96</f>
        <v>24.218512092702273</v>
      </c>
      <c r="J37" s="62">
        <f>AT37</f>
        <v>0.19176033292214179</v>
      </c>
      <c r="K37" s="128">
        <v>4</v>
      </c>
      <c r="L37" s="127"/>
      <c r="P37" s="33">
        <v>20.16</v>
      </c>
      <c r="Q37" s="33">
        <v>22.84</v>
      </c>
      <c r="R37" s="45">
        <f t="shared" si="55"/>
        <v>0.27907446661010393</v>
      </c>
      <c r="S37" s="45">
        <f t="shared" si="56"/>
        <v>28.45974294068656</v>
      </c>
      <c r="T37" s="45">
        <f t="shared" si="57"/>
        <v>5.3112844906563383</v>
      </c>
      <c r="U37" s="45">
        <f t="shared" si="58"/>
        <v>12.441864811996632</v>
      </c>
      <c r="V37" s="45">
        <f t="shared" si="59"/>
        <v>0.66082283610800563</v>
      </c>
      <c r="W37" s="45">
        <f t="shared" si="60"/>
        <v>4.2490275925250717E-2</v>
      </c>
      <c r="X37" s="45">
        <f t="shared" si="61"/>
        <v>0.74190002674894884</v>
      </c>
      <c r="Y37" s="45">
        <f t="shared" si="40"/>
        <v>14.35</v>
      </c>
      <c r="Z37" s="45"/>
      <c r="AA37" s="45">
        <f>(B37*W37)+(0.2*V37)</f>
        <v>0.43809455388340629</v>
      </c>
      <c r="AB37" s="45">
        <f>(C37*W37)+(0.2*V37)</f>
        <v>1.0457054996144917</v>
      </c>
      <c r="AC37" s="45">
        <f t="shared" si="15"/>
        <v>0.56000000000000005</v>
      </c>
      <c r="AD37" s="45">
        <f t="shared" si="16"/>
        <v>1.34</v>
      </c>
      <c r="AE37" s="45">
        <f t="shared" si="17"/>
        <v>6.6400000000000006</v>
      </c>
      <c r="AF37" s="45">
        <f t="shared" si="18"/>
        <v>7.76</v>
      </c>
      <c r="AG37" s="45">
        <f t="shared" si="19"/>
        <v>20.16</v>
      </c>
      <c r="AH37" s="45">
        <f t="shared" si="20"/>
        <v>22.84</v>
      </c>
      <c r="AI37" s="46"/>
      <c r="AJ37" s="46">
        <f t="shared" si="21"/>
        <v>7.2</v>
      </c>
      <c r="AK37" s="46">
        <f t="shared" si="22"/>
        <v>21.5</v>
      </c>
      <c r="AL37" s="46">
        <f t="shared" si="23"/>
        <v>2.5210669805778134</v>
      </c>
      <c r="AM37" s="46">
        <f t="shared" si="24"/>
        <v>12.935924159815926</v>
      </c>
      <c r="AN37" s="46">
        <f t="shared" si="25"/>
        <v>3.6815307628857803</v>
      </c>
      <c r="AO37" s="46">
        <f t="shared" si="26"/>
        <v>3.7555404947576383</v>
      </c>
      <c r="AP37" s="46">
        <f t="shared" si="27"/>
        <v>2.5195478958622748</v>
      </c>
      <c r="AQ37" s="46">
        <f t="shared" si="28"/>
        <v>0.28446568746474676</v>
      </c>
      <c r="AR37" s="46">
        <f t="shared" si="29"/>
        <v>2.4997895148220484</v>
      </c>
      <c r="AS37" s="47">
        <f t="shared" si="30"/>
        <v>2.6915498477441901</v>
      </c>
      <c r="AT37" s="63">
        <f t="shared" si="31"/>
        <v>0.19176033292214179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</row>
    <row r="38" spans="1:116" x14ac:dyDescent="0.2">
      <c r="A38" s="74" t="s">
        <v>237</v>
      </c>
      <c r="B38" s="83">
        <v>35.200000000000003</v>
      </c>
      <c r="C38" s="89">
        <v>50.4</v>
      </c>
      <c r="D38" s="98">
        <f>(B38+C38)/2</f>
        <v>42.8</v>
      </c>
      <c r="E38" s="99" t="s">
        <v>9</v>
      </c>
      <c r="F38" s="11"/>
      <c r="G38" s="36"/>
      <c r="H38" s="36"/>
      <c r="I38" s="37"/>
      <c r="J38" s="62"/>
      <c r="K38" s="131">
        <v>4</v>
      </c>
      <c r="L38" s="127"/>
      <c r="P38" s="33"/>
      <c r="Q38" s="33"/>
      <c r="R38" s="45">
        <f t="shared" si="55"/>
        <v>9.1567625630936622E-2</v>
      </c>
      <c r="S38" s="45">
        <f t="shared" si="56"/>
        <v>9.1759901500372685</v>
      </c>
      <c r="T38" s="45">
        <f t="shared" si="57"/>
        <v>2.9876395615999711</v>
      </c>
      <c r="U38" s="45">
        <f t="shared" si="58"/>
        <v>42.119829059482186</v>
      </c>
      <c r="V38" s="45">
        <f t="shared" si="59"/>
        <v>1.2583886762593708</v>
      </c>
      <c r="W38" s="45">
        <f t="shared" si="60"/>
        <v>2.3901116492799766E-2</v>
      </c>
      <c r="X38" s="45">
        <f t="shared" si="61"/>
        <v>1.2746455211437042</v>
      </c>
      <c r="Y38" s="45">
        <f t="shared" si="40"/>
        <v>42.8</v>
      </c>
      <c r="Z38" s="45"/>
      <c r="AA38" s="45"/>
      <c r="AB38" s="45"/>
      <c r="AC38" s="45">
        <f t="shared" si="15"/>
        <v>0</v>
      </c>
      <c r="AD38" s="45">
        <f t="shared" si="16"/>
        <v>0</v>
      </c>
      <c r="AE38" s="45">
        <f t="shared" si="17"/>
        <v>35.200000000000003</v>
      </c>
      <c r="AF38" s="45">
        <f t="shared" si="18"/>
        <v>35.200000000000003</v>
      </c>
      <c r="AG38" s="45">
        <f t="shared" si="19"/>
        <v>50.4</v>
      </c>
      <c r="AH38" s="45">
        <f t="shared" si="20"/>
        <v>50.4</v>
      </c>
      <c r="AI38" s="46"/>
      <c r="AJ38" s="46">
        <f t="shared" si="21"/>
        <v>35.200000000000003</v>
      </c>
      <c r="AK38" s="46">
        <f t="shared" si="22"/>
        <v>50.4</v>
      </c>
      <c r="AL38" s="46">
        <f t="shared" si="23"/>
        <v>3.7405186288406869</v>
      </c>
      <c r="AM38" s="46">
        <f t="shared" si="24"/>
        <v>42.296779308415402</v>
      </c>
      <c r="AN38" s="46">
        <f t="shared" si="25"/>
        <v>3.881148303123199</v>
      </c>
      <c r="AO38" s="46">
        <f t="shared" si="26"/>
        <v>4.0850989407121823</v>
      </c>
      <c r="AP38" s="46">
        <f t="shared" si="27"/>
        <v>3.7400685409066958</v>
      </c>
      <c r="AQ38" s="46">
        <f t="shared" si="28"/>
        <v>9.6357697832966785E-2</v>
      </c>
      <c r="AR38" s="46">
        <f t="shared" si="29"/>
        <v>2.4997895148220262</v>
      </c>
      <c r="AS38" s="47">
        <f t="shared" si="30"/>
        <v>3.0934267105347857</v>
      </c>
      <c r="AT38" s="63">
        <f t="shared" si="31"/>
        <v>0.59363719571275952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  <row r="39" spans="1:116" x14ac:dyDescent="0.2">
      <c r="A39" s="74" t="s">
        <v>33</v>
      </c>
      <c r="B39" s="83">
        <v>4.0999999999999996</v>
      </c>
      <c r="C39" s="83">
        <v>5.0999999999999996</v>
      </c>
      <c r="D39" s="83">
        <v>4.5999999999999996</v>
      </c>
      <c r="E39" s="102" t="s">
        <v>155</v>
      </c>
      <c r="F39" s="31" t="s">
        <v>83</v>
      </c>
      <c r="G39" s="36">
        <f>(X39*100)/D39</f>
        <v>2.3042146423736489</v>
      </c>
      <c r="H39" s="36">
        <f>G39*2.39</f>
        <v>5.5070729952730213</v>
      </c>
      <c r="I39" s="37">
        <f>H39*1.96</f>
        <v>10.793863070735121</v>
      </c>
      <c r="J39" s="62">
        <f>AT39</f>
        <v>0.97838437187178773</v>
      </c>
      <c r="K39" s="128">
        <v>2.5</v>
      </c>
      <c r="L39" s="127">
        <v>4</v>
      </c>
      <c r="M39" s="121">
        <v>8</v>
      </c>
      <c r="N39" s="121">
        <v>4</v>
      </c>
      <c r="O39" s="121">
        <v>8</v>
      </c>
      <c r="P39" s="33">
        <v>4.9499999999999993</v>
      </c>
      <c r="Q39" s="33">
        <v>5.25</v>
      </c>
      <c r="R39" s="45">
        <f t="shared" si="55"/>
        <v>5.567693010714745E-2</v>
      </c>
      <c r="S39" s="45">
        <f t="shared" si="56"/>
        <v>5.5720106501039934</v>
      </c>
      <c r="T39" s="45">
        <f t="shared" si="57"/>
        <v>2.306948341446768</v>
      </c>
      <c r="U39" s="45">
        <f t="shared" si="58"/>
        <v>4.5727453460694703</v>
      </c>
      <c r="V39" s="45">
        <f t="shared" si="59"/>
        <v>0.10549087291973391</v>
      </c>
      <c r="W39" s="45">
        <f t="shared" si="60"/>
        <v>1.8455586731574145E-2</v>
      </c>
      <c r="X39" s="45">
        <f t="shared" si="61"/>
        <v>0.10599387354918785</v>
      </c>
      <c r="Y39" s="45">
        <f t="shared" si="40"/>
        <v>4.5999999999999996</v>
      </c>
      <c r="Z39" s="45"/>
      <c r="AA39" s="45">
        <f>(B39*W39)+(0.2*V39)</f>
        <v>9.6766080183400771E-2</v>
      </c>
      <c r="AB39" s="45">
        <f>(C39*W39)+(0.2*V39)</f>
        <v>0.1152216669149749</v>
      </c>
      <c r="AC39" s="45">
        <f t="shared" si="15"/>
        <v>0.12</v>
      </c>
      <c r="AD39" s="45">
        <f t="shared" si="16"/>
        <v>0.15</v>
      </c>
      <c r="AE39" s="45">
        <f t="shared" si="17"/>
        <v>3.9799999999999995</v>
      </c>
      <c r="AF39" s="45">
        <f t="shared" si="18"/>
        <v>4.22</v>
      </c>
      <c r="AG39" s="45">
        <f t="shared" si="19"/>
        <v>4.9499999999999993</v>
      </c>
      <c r="AH39" s="45">
        <f t="shared" si="20"/>
        <v>5.25</v>
      </c>
      <c r="AI39" s="46"/>
      <c r="AJ39" s="46">
        <f t="shared" si="21"/>
        <v>4.0999999999999996</v>
      </c>
      <c r="AK39" s="46">
        <f t="shared" si="22"/>
        <v>5.0999999999999996</v>
      </c>
      <c r="AL39" s="46">
        <f t="shared" si="23"/>
        <v>1.5201137567202712</v>
      </c>
      <c r="AM39" s="46">
        <f t="shared" si="24"/>
        <v>4.5798384152624942</v>
      </c>
      <c r="AN39" s="46">
        <f t="shared" si="25"/>
        <v>0.25518908425598014</v>
      </c>
      <c r="AO39" s="46">
        <f t="shared" si="26"/>
        <v>0.27632620207531339</v>
      </c>
      <c r="AP39" s="46">
        <f t="shared" si="27"/>
        <v>1.5198468441555166</v>
      </c>
      <c r="AQ39" s="46">
        <f t="shared" si="28"/>
        <v>6.0280558023839852E-2</v>
      </c>
      <c r="AR39" s="46">
        <f t="shared" si="29"/>
        <v>2.4997895148220595</v>
      </c>
      <c r="AS39" s="47">
        <f t="shared" si="30"/>
        <v>3.4781738866938472</v>
      </c>
      <c r="AT39" s="63">
        <f t="shared" si="31"/>
        <v>0.97838437187178773</v>
      </c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</row>
    <row r="40" spans="1:116" x14ac:dyDescent="0.2">
      <c r="A40" s="74" t="s">
        <v>34</v>
      </c>
      <c r="B40" s="83">
        <v>110</v>
      </c>
      <c r="C40" s="83">
        <v>1100</v>
      </c>
      <c r="D40" s="83">
        <v>605</v>
      </c>
      <c r="E40" s="102" t="s">
        <v>13</v>
      </c>
      <c r="F40" s="13" t="s">
        <v>87</v>
      </c>
      <c r="G40" s="36">
        <f>(X40*100)/D40</f>
        <v>7.3165003792340606</v>
      </c>
      <c r="H40" s="36">
        <f>G40*2.39</f>
        <v>17.486435906369405</v>
      </c>
      <c r="I40" s="37">
        <f>H40*1.96</f>
        <v>34.273414376484034</v>
      </c>
      <c r="J40" s="62">
        <f>AT40</f>
        <v>9.3611671671400831E-2</v>
      </c>
      <c r="K40" s="128">
        <v>13</v>
      </c>
      <c r="L40" s="127">
        <v>22</v>
      </c>
      <c r="M40" s="121">
        <v>35</v>
      </c>
      <c r="N40" s="121">
        <v>22</v>
      </c>
      <c r="O40" s="121">
        <v>35</v>
      </c>
      <c r="P40" s="33">
        <v>1002.81</v>
      </c>
      <c r="Q40" s="33">
        <v>1197.19</v>
      </c>
      <c r="R40" s="45">
        <f t="shared" si="55"/>
        <v>0.58739415637603187</v>
      </c>
      <c r="S40" s="45">
        <f t="shared" si="56"/>
        <v>64.189949036144725</v>
      </c>
      <c r="T40" s="45">
        <f t="shared" si="57"/>
        <v>7.996245933945799</v>
      </c>
      <c r="U40" s="45">
        <f t="shared" si="58"/>
        <v>347.85054261852173</v>
      </c>
      <c r="V40" s="45">
        <f t="shared" si="59"/>
        <v>27.814984870341942</v>
      </c>
      <c r="W40" s="45">
        <f t="shared" si="60"/>
        <v>6.39699674715664E-2</v>
      </c>
      <c r="X40" s="45">
        <f t="shared" si="61"/>
        <v>44.264827294366064</v>
      </c>
      <c r="Y40" s="45">
        <f t="shared" si="40"/>
        <v>605</v>
      </c>
      <c r="Z40" s="45"/>
      <c r="AA40" s="45">
        <f>(B40*W40)+(0.2*V40)</f>
        <v>12.599693395940694</v>
      </c>
      <c r="AB40" s="45">
        <f>(C40*W40)+(0.2*V40)</f>
        <v>75.929961192791424</v>
      </c>
      <c r="AC40" s="45">
        <f t="shared" si="15"/>
        <v>16.13</v>
      </c>
      <c r="AD40" s="45">
        <f t="shared" si="16"/>
        <v>97.19</v>
      </c>
      <c r="AE40" s="45">
        <f t="shared" si="17"/>
        <v>93.87</v>
      </c>
      <c r="AF40" s="45">
        <f t="shared" si="18"/>
        <v>126.13</v>
      </c>
      <c r="AG40" s="45">
        <f t="shared" si="19"/>
        <v>1002.81</v>
      </c>
      <c r="AH40" s="45">
        <f t="shared" si="20"/>
        <v>1197.19</v>
      </c>
      <c r="AI40" s="46"/>
      <c r="AJ40" s="46">
        <f t="shared" si="21"/>
        <v>110</v>
      </c>
      <c r="AK40" s="46">
        <f t="shared" si="22"/>
        <v>1100</v>
      </c>
      <c r="AL40" s="46">
        <f t="shared" si="23"/>
        <v>5.8517729122894391</v>
      </c>
      <c r="AM40" s="46">
        <f t="shared" si="24"/>
        <v>413.34758937591579</v>
      </c>
      <c r="AN40" s="46">
        <f t="shared" si="25"/>
        <v>265.32760696253308</v>
      </c>
      <c r="AO40" s="46">
        <f t="shared" si="26"/>
        <v>268.9946355447716</v>
      </c>
      <c r="AP40" s="46">
        <f t="shared" si="27"/>
        <v>5.8477285165576918</v>
      </c>
      <c r="AQ40" s="46">
        <f t="shared" si="28"/>
        <v>0.59423958670573684</v>
      </c>
      <c r="AR40" s="46">
        <f t="shared" si="29"/>
        <v>2.4997895148220484</v>
      </c>
      <c r="AS40" s="47">
        <f t="shared" si="30"/>
        <v>2.5934011864934492</v>
      </c>
      <c r="AT40" s="63">
        <f t="shared" si="31"/>
        <v>9.3611671671400831E-2</v>
      </c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</row>
    <row r="41" spans="1:116" x14ac:dyDescent="0.2">
      <c r="A41" s="75" t="s">
        <v>196</v>
      </c>
      <c r="B41" s="84">
        <v>1E-3</v>
      </c>
      <c r="C41" s="86">
        <v>0.10100000000000001</v>
      </c>
      <c r="D41" s="84"/>
      <c r="E41" s="99" t="s">
        <v>9</v>
      </c>
      <c r="F41" s="11"/>
      <c r="G41" s="36"/>
      <c r="H41" s="36"/>
      <c r="I41" s="37"/>
      <c r="J41" s="62"/>
      <c r="K41" s="128">
        <v>7</v>
      </c>
      <c r="L41" s="127">
        <v>9</v>
      </c>
      <c r="M41" s="121">
        <v>12</v>
      </c>
      <c r="N41" s="121">
        <v>9</v>
      </c>
      <c r="O41" s="121">
        <v>12</v>
      </c>
      <c r="P41" s="33"/>
      <c r="Q41" s="33"/>
      <c r="R41" s="45">
        <f t="shared" si="55"/>
        <v>1.1773266624595049</v>
      </c>
      <c r="S41" s="45">
        <f t="shared" si="56"/>
        <v>173.18241576810976</v>
      </c>
      <c r="T41" s="45">
        <f t="shared" si="57"/>
        <v>13.150377019998695</v>
      </c>
      <c r="U41" s="45">
        <f t="shared" si="58"/>
        <v>1.0049875621120891E-2</v>
      </c>
      <c r="V41" s="45">
        <f t="shared" si="59"/>
        <v>1.3215965342183327E-3</v>
      </c>
      <c r="W41" s="45">
        <f t="shared" si="60"/>
        <v>0.10520301615998956</v>
      </c>
      <c r="X41" s="45">
        <f t="shared" si="61"/>
        <v>2.6431930684366658E-4</v>
      </c>
      <c r="Y41" s="45">
        <f t="shared" si="40"/>
        <v>5.1000000000000004E-2</v>
      </c>
      <c r="Z41" s="45"/>
      <c r="AA41" s="45"/>
      <c r="AB41" s="45">
        <f>(C41*W41)+(0.2*V41)</f>
        <v>1.0889823939002612E-2</v>
      </c>
      <c r="AC41" s="45">
        <f t="shared" si="15"/>
        <v>0</v>
      </c>
      <c r="AD41" s="45">
        <f t="shared" si="16"/>
        <v>0.01</v>
      </c>
      <c r="AE41" s="45">
        <f t="shared" si="17"/>
        <v>1E-3</v>
      </c>
      <c r="AF41" s="45">
        <f t="shared" si="18"/>
        <v>1E-3</v>
      </c>
      <c r="AG41" s="45">
        <f t="shared" si="19"/>
        <v>9.1000000000000011E-2</v>
      </c>
      <c r="AH41" s="45">
        <f t="shared" si="20"/>
        <v>0.111</v>
      </c>
      <c r="AI41" s="46"/>
      <c r="AJ41" s="46">
        <f t="shared" si="21"/>
        <v>1E-3</v>
      </c>
      <c r="AK41" s="46">
        <f t="shared" si="22"/>
        <v>0.10100000000000001</v>
      </c>
      <c r="AL41" s="46">
        <f t="shared" si="23"/>
        <v>-4.6001950205615074</v>
      </c>
      <c r="AM41" s="46">
        <f t="shared" si="24"/>
        <v>2.0097778639091238E-2</v>
      </c>
      <c r="AN41" s="46">
        <f t="shared" si="25"/>
        <v>3.4805818562905336E-2</v>
      </c>
      <c r="AO41" s="46">
        <f t="shared" si="26"/>
        <v>3.4806822183730823E-2</v>
      </c>
      <c r="AP41" s="46">
        <f t="shared" si="27"/>
        <v>-4.6002166451337843</v>
      </c>
      <c r="AQ41" s="46">
        <f t="shared" si="28"/>
        <v>1.1773450298372989</v>
      </c>
      <c r="AR41" s="46">
        <f t="shared" si="29"/>
        <v>2.4997895148220373</v>
      </c>
      <c r="AS41" s="47">
        <f t="shared" si="30"/>
        <v>2.4998608725920413</v>
      </c>
      <c r="AT41" s="63">
        <f t="shared" si="31"/>
        <v>7.1357770003999121E-5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</row>
    <row r="42" spans="1:116" x14ac:dyDescent="0.2">
      <c r="A42" s="74" t="s">
        <v>35</v>
      </c>
      <c r="B42" s="83">
        <v>22</v>
      </c>
      <c r="C42" s="83">
        <v>112</v>
      </c>
      <c r="D42" s="83">
        <v>67</v>
      </c>
      <c r="E42" s="103" t="s">
        <v>15</v>
      </c>
      <c r="F42" s="13" t="s">
        <v>88</v>
      </c>
      <c r="G42" s="36">
        <f>(X42*100)/D42</f>
        <v>6.2263914460213998</v>
      </c>
      <c r="H42" s="36">
        <f>G42*2.39</f>
        <v>14.881075555991146</v>
      </c>
      <c r="I42" s="37">
        <f>H42*1.96</f>
        <v>29.166908089742645</v>
      </c>
      <c r="J42" s="62">
        <f>AT42</f>
        <v>0.13045338068072843</v>
      </c>
      <c r="K42" s="128">
        <v>10</v>
      </c>
      <c r="L42" s="127">
        <v>13.5</v>
      </c>
      <c r="M42" s="121">
        <v>25</v>
      </c>
      <c r="N42" s="121">
        <v>13.5</v>
      </c>
      <c r="O42" s="121">
        <v>25</v>
      </c>
      <c r="P42" s="33">
        <v>103.63</v>
      </c>
      <c r="Q42" s="33">
        <v>120.37</v>
      </c>
      <c r="R42" s="45">
        <f t="shared" si="55"/>
        <v>0.41516745355530055</v>
      </c>
      <c r="S42" s="45">
        <f t="shared" si="56"/>
        <v>43.371677838611909</v>
      </c>
      <c r="T42" s="45">
        <f t="shared" si="57"/>
        <v>6.5667098183650472</v>
      </c>
      <c r="U42" s="45">
        <f t="shared" si="58"/>
        <v>49.638694583963428</v>
      </c>
      <c r="V42" s="45">
        <f t="shared" si="59"/>
        <v>3.2596290309533651</v>
      </c>
      <c r="W42" s="45">
        <f t="shared" si="60"/>
        <v>5.253367854692037E-2</v>
      </c>
      <c r="X42" s="45">
        <f t="shared" si="61"/>
        <v>4.1716822688343376</v>
      </c>
      <c r="Y42" s="45">
        <f t="shared" si="40"/>
        <v>67</v>
      </c>
      <c r="Z42" s="45"/>
      <c r="AA42" s="45">
        <f>(B42*W42)+(0.2*V42)</f>
        <v>1.8076667342229213</v>
      </c>
      <c r="AB42" s="45">
        <f>(C42*W42)+(0.2*V42)</f>
        <v>6.5356978034457542</v>
      </c>
      <c r="AC42" s="45">
        <f t="shared" si="15"/>
        <v>2.31</v>
      </c>
      <c r="AD42" s="45">
        <f t="shared" si="16"/>
        <v>8.3699999999999992</v>
      </c>
      <c r="AE42" s="45">
        <f t="shared" si="17"/>
        <v>19.690000000000001</v>
      </c>
      <c r="AF42" s="45">
        <f t="shared" si="18"/>
        <v>24.31</v>
      </c>
      <c r="AG42" s="45">
        <f t="shared" si="19"/>
        <v>103.63</v>
      </c>
      <c r="AH42" s="45">
        <f t="shared" si="20"/>
        <v>120.37</v>
      </c>
      <c r="AI42" s="46"/>
      <c r="AJ42" s="46">
        <f t="shared" si="21"/>
        <v>22</v>
      </c>
      <c r="AK42" s="46">
        <f t="shared" si="22"/>
        <v>112</v>
      </c>
      <c r="AL42" s="46">
        <f t="shared" si="23"/>
        <v>3.9047706623267051</v>
      </c>
      <c r="AM42" s="46">
        <f t="shared" si="24"/>
        <v>54.106410349009053</v>
      </c>
      <c r="AN42" s="46">
        <f t="shared" si="25"/>
        <v>23.466857986609583</v>
      </c>
      <c r="AO42" s="46">
        <f t="shared" si="26"/>
        <v>23.834772008890891</v>
      </c>
      <c r="AP42" s="46">
        <f t="shared" si="27"/>
        <v>3.902275182615722</v>
      </c>
      <c r="AQ42" s="46">
        <f t="shared" si="28"/>
        <v>0.42113533918867357</v>
      </c>
      <c r="AR42" s="46">
        <f t="shared" si="29"/>
        <v>2.4997895148220484</v>
      </c>
      <c r="AS42" s="47">
        <f t="shared" si="30"/>
        <v>2.6302428955027768</v>
      </c>
      <c r="AT42" s="63">
        <f t="shared" si="31"/>
        <v>0.13045338068072843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</row>
    <row r="43" spans="1:116" x14ac:dyDescent="0.2">
      <c r="A43" s="74" t="s">
        <v>197</v>
      </c>
      <c r="B43" s="83">
        <v>2.2400000000000002</v>
      </c>
      <c r="C43" s="89">
        <v>3.46</v>
      </c>
      <c r="D43" s="98">
        <f>(B43+C43)/2</f>
        <v>2.85</v>
      </c>
      <c r="E43" s="99" t="s">
        <v>9</v>
      </c>
      <c r="F43" s="11"/>
      <c r="G43" s="36"/>
      <c r="H43" s="36"/>
      <c r="I43" s="37"/>
      <c r="J43" s="62"/>
      <c r="K43" s="128"/>
      <c r="L43" s="127"/>
      <c r="N43" s="121">
        <v>20</v>
      </c>
      <c r="P43" s="33"/>
      <c r="Q43" s="33"/>
      <c r="R43" s="45">
        <f t="shared" ref="R43:R44" si="62">(LN(C43)-LN(B43))/3.92</f>
        <v>0.11091651102109296</v>
      </c>
      <c r="S43" s="45">
        <f t="shared" ref="S43:S44" si="63">100*(EXP(R43^2)-1)^0.5</f>
        <v>11.125852380495193</v>
      </c>
      <c r="T43" s="45">
        <f t="shared" ref="T43:T44" si="64">(S43-0.25)^0.5</f>
        <v>3.2978557246330822</v>
      </c>
      <c r="U43" s="45">
        <f t="shared" ref="U43:U44" si="65">(B43*C43)^0.5</f>
        <v>2.7839540226088508</v>
      </c>
      <c r="V43" s="45">
        <f t="shared" ref="V43:V44" si="66">T43*U43*0.01</f>
        <v>9.1810787105758962E-2</v>
      </c>
      <c r="W43" s="45">
        <f t="shared" ref="W43:W44" si="67">(V43-0.2*V43)/U43</f>
        <v>2.6382845797064656E-2</v>
      </c>
      <c r="X43" s="45">
        <f t="shared" ref="X43:X44" si="68">(D43*W43)+(0.2*V43)</f>
        <v>9.3553267942786067E-2</v>
      </c>
      <c r="Y43" s="45">
        <f t="shared" si="40"/>
        <v>2.85</v>
      </c>
      <c r="Z43" s="45"/>
      <c r="AA43" s="45"/>
      <c r="AB43" s="45"/>
      <c r="AC43" s="45">
        <f t="shared" si="15"/>
        <v>0</v>
      </c>
      <c r="AD43" s="45">
        <f t="shared" si="16"/>
        <v>0</v>
      </c>
      <c r="AE43" s="45">
        <f t="shared" si="17"/>
        <v>2.2400000000000002</v>
      </c>
      <c r="AF43" s="45">
        <f t="shared" si="18"/>
        <v>2.2400000000000002</v>
      </c>
      <c r="AG43" s="45">
        <f t="shared" si="19"/>
        <v>3.46</v>
      </c>
      <c r="AH43" s="45">
        <f t="shared" si="20"/>
        <v>3.46</v>
      </c>
      <c r="AI43" s="46"/>
      <c r="AJ43" s="46">
        <f t="shared" si="21"/>
        <v>2.2400000000000002</v>
      </c>
      <c r="AK43" s="46">
        <f t="shared" si="22"/>
        <v>3.46</v>
      </c>
      <c r="AL43" s="46">
        <f t="shared" si="23"/>
        <v>1.0238722274682908</v>
      </c>
      <c r="AM43" s="46">
        <f t="shared" si="24"/>
        <v>2.8011315587736845</v>
      </c>
      <c r="AN43" s="46">
        <f t="shared" si="25"/>
        <v>0.31164976221262408</v>
      </c>
      <c r="AO43" s="46">
        <f t="shared" si="26"/>
        <v>0.3253886725593868</v>
      </c>
      <c r="AP43" s="46">
        <f t="shared" si="27"/>
        <v>1.0233216240862586</v>
      </c>
      <c r="AQ43" s="46">
        <f t="shared" si="28"/>
        <v>0.11577425957939255</v>
      </c>
      <c r="AR43" s="46">
        <f t="shared" si="29"/>
        <v>2.4997895148220484</v>
      </c>
      <c r="AS43" s="47">
        <f t="shared" si="30"/>
        <v>2.9882954390800243</v>
      </c>
      <c r="AT43" s="63">
        <f t="shared" si="31"/>
        <v>0.4885059242579759</v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</row>
    <row r="44" spans="1:116" x14ac:dyDescent="0.2">
      <c r="A44" s="74" t="s">
        <v>198</v>
      </c>
      <c r="B44" s="83">
        <v>2</v>
      </c>
      <c r="C44" s="89">
        <v>9.1</v>
      </c>
      <c r="D44" s="98">
        <v>0.55000000000000004</v>
      </c>
      <c r="E44" s="99" t="s">
        <v>15</v>
      </c>
      <c r="F44" s="11"/>
      <c r="G44" s="36"/>
      <c r="H44" s="36"/>
      <c r="I44" s="37"/>
      <c r="J44" s="62"/>
      <c r="K44" s="128"/>
      <c r="L44" s="127"/>
      <c r="N44" s="121">
        <v>25</v>
      </c>
      <c r="P44" s="33"/>
      <c r="Q44" s="33"/>
      <c r="R44" s="45">
        <f t="shared" si="62"/>
        <v>0.38651204922521909</v>
      </c>
      <c r="S44" s="45">
        <f t="shared" si="63"/>
        <v>40.140697077344761</v>
      </c>
      <c r="T44" s="45">
        <f t="shared" si="64"/>
        <v>6.3159082543482823</v>
      </c>
      <c r="U44" s="45">
        <f t="shared" si="65"/>
        <v>4.2661458015403086</v>
      </c>
      <c r="V44" s="45">
        <f t="shared" si="66"/>
        <v>0.26944585482201705</v>
      </c>
      <c r="W44" s="45">
        <f t="shared" si="67"/>
        <v>5.0527266034786258E-2</v>
      </c>
      <c r="X44" s="45">
        <f t="shared" si="68"/>
        <v>8.1679167283535858E-2</v>
      </c>
      <c r="Y44" s="45">
        <f t="shared" si="40"/>
        <v>5.55</v>
      </c>
      <c r="Z44" s="45"/>
      <c r="AA44" s="45"/>
      <c r="AB44" s="45"/>
      <c r="AC44" s="45">
        <f t="shared" si="15"/>
        <v>0</v>
      </c>
      <c r="AD44" s="45">
        <f t="shared" si="16"/>
        <v>0</v>
      </c>
      <c r="AE44" s="45">
        <f t="shared" si="17"/>
        <v>2</v>
      </c>
      <c r="AF44" s="45">
        <f t="shared" si="18"/>
        <v>2</v>
      </c>
      <c r="AG44" s="45">
        <f t="shared" si="19"/>
        <v>9.1</v>
      </c>
      <c r="AH44" s="45">
        <f t="shared" si="20"/>
        <v>9.1</v>
      </c>
      <c r="AI44" s="46"/>
      <c r="AJ44" s="46">
        <f t="shared" si="21"/>
        <v>2</v>
      </c>
      <c r="AK44" s="46">
        <f t="shared" si="22"/>
        <v>9.1</v>
      </c>
      <c r="AL44" s="46">
        <f t="shared" si="23"/>
        <v>1.4507107970413748</v>
      </c>
      <c r="AM44" s="46">
        <f t="shared" si="24"/>
        <v>4.597012238680291</v>
      </c>
      <c r="AN44" s="46">
        <f t="shared" si="25"/>
        <v>1.8452727573371206</v>
      </c>
      <c r="AO44" s="46">
        <f t="shared" si="26"/>
        <v>1.8470795963733322</v>
      </c>
      <c r="AP44" s="46">
        <f t="shared" si="27"/>
        <v>1.4505748711085453</v>
      </c>
      <c r="AQ44" s="46">
        <f t="shared" si="28"/>
        <v>0.38686356259272764</v>
      </c>
      <c r="AR44" s="46">
        <f t="shared" si="29"/>
        <v>2.4997895148220373</v>
      </c>
      <c r="AS44" s="47">
        <f t="shared" si="30"/>
        <v>2.5081556441576169</v>
      </c>
      <c r="AT44" s="63">
        <f t="shared" si="31"/>
        <v>8.3661293355796751E-3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</row>
    <row r="45" spans="1:116" x14ac:dyDescent="0.2">
      <c r="A45" s="118" t="s">
        <v>199</v>
      </c>
      <c r="B45" s="88" t="s">
        <v>257</v>
      </c>
      <c r="C45" s="144" t="s">
        <v>258</v>
      </c>
      <c r="D45" s="88" t="s">
        <v>259</v>
      </c>
      <c r="F45" s="11"/>
      <c r="G45" s="36"/>
      <c r="H45" s="36"/>
      <c r="I45" s="37"/>
      <c r="J45" s="62"/>
      <c r="K45" s="128"/>
      <c r="L45" s="127"/>
      <c r="N45" s="121">
        <v>20</v>
      </c>
      <c r="P45" s="33"/>
      <c r="Q45" s="33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7"/>
      <c r="AT45" s="63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</row>
    <row r="46" spans="1:116" x14ac:dyDescent="0.2">
      <c r="A46" s="74" t="s">
        <v>62</v>
      </c>
      <c r="B46" s="83">
        <v>10</v>
      </c>
      <c r="C46" s="83">
        <v>23</v>
      </c>
      <c r="D46" s="83">
        <v>16.5</v>
      </c>
      <c r="E46" s="102" t="s">
        <v>13</v>
      </c>
      <c r="F46" s="13"/>
      <c r="G46" s="36">
        <f>(X46*100)/D46</f>
        <v>4.5341275517277166</v>
      </c>
      <c r="H46" s="36">
        <f>G46*2.39</f>
        <v>10.836564848629243</v>
      </c>
      <c r="I46" s="37">
        <f>H46*1.96</f>
        <v>21.239667103313316</v>
      </c>
      <c r="J46" s="62">
        <f>AT46</f>
        <v>0.25195075442203674</v>
      </c>
      <c r="K46" s="128"/>
      <c r="L46" s="127">
        <v>13</v>
      </c>
      <c r="M46" s="121">
        <v>20</v>
      </c>
      <c r="N46" s="121">
        <v>13</v>
      </c>
      <c r="O46" s="121">
        <v>20</v>
      </c>
      <c r="P46" s="33">
        <v>21.74</v>
      </c>
      <c r="Q46" s="33">
        <v>24.26</v>
      </c>
      <c r="R46" s="45">
        <f>(LN(C46)-LN(B46))/3.92</f>
        <v>0.21247681707528157</v>
      </c>
      <c r="S46" s="45">
        <f>100*(EXP(R46^2)-1)^0.5</f>
        <v>21.489766701916306</v>
      </c>
      <c r="T46" s="45">
        <f>(S46-0.25)^0.5</f>
        <v>4.608662137965454</v>
      </c>
      <c r="U46" s="45">
        <f>(B46*C46)^0.5</f>
        <v>15.165750888103101</v>
      </c>
      <c r="V46" s="45">
        <f>T46*U46*0.01</f>
        <v>0.69893821911816711</v>
      </c>
      <c r="W46" s="45">
        <f>(V46-0.2*V46)/U46</f>
        <v>3.6869297103723629E-2</v>
      </c>
      <c r="X46" s="45">
        <f>(D46*W46)+(0.2*V46)</f>
        <v>0.7481310460350733</v>
      </c>
      <c r="Y46" s="45">
        <f t="shared" si="40"/>
        <v>16.5</v>
      </c>
      <c r="Z46" s="45"/>
      <c r="AA46" s="45">
        <f>(B46*W46)+(0.2*V46)</f>
        <v>0.50848061486086971</v>
      </c>
      <c r="AB46" s="45">
        <f>(C46*W46)+(0.2*V46)</f>
        <v>0.98778147720927689</v>
      </c>
      <c r="AC46" s="45">
        <f t="shared" si="15"/>
        <v>0.65</v>
      </c>
      <c r="AD46" s="45">
        <f t="shared" si="16"/>
        <v>1.26</v>
      </c>
      <c r="AE46" s="45">
        <f t="shared" si="17"/>
        <v>9.35</v>
      </c>
      <c r="AF46" s="45">
        <f t="shared" si="18"/>
        <v>10.65</v>
      </c>
      <c r="AG46" s="45">
        <f t="shared" si="19"/>
        <v>21.74</v>
      </c>
      <c r="AH46" s="45">
        <f t="shared" si="20"/>
        <v>24.26</v>
      </c>
      <c r="AI46" s="46"/>
      <c r="AJ46" s="46">
        <f t="shared" si="21"/>
        <v>10</v>
      </c>
      <c r="AK46" s="46">
        <f t="shared" si="22"/>
        <v>23</v>
      </c>
      <c r="AL46" s="46">
        <f t="shared" si="23"/>
        <v>2.7190396544615978</v>
      </c>
      <c r="AM46" s="46">
        <f t="shared" si="24"/>
        <v>15.511983486220073</v>
      </c>
      <c r="AN46" s="46">
        <f t="shared" si="25"/>
        <v>3.3334890620284772</v>
      </c>
      <c r="AO46" s="46">
        <f t="shared" si="26"/>
        <v>3.4164088439039362</v>
      </c>
      <c r="AP46" s="46">
        <f t="shared" si="27"/>
        <v>2.7179291980751676</v>
      </c>
      <c r="AQ46" s="46">
        <f t="shared" si="28"/>
        <v>0.21764032385406742</v>
      </c>
      <c r="AR46" s="46">
        <f t="shared" si="29"/>
        <v>2.4997895148220484</v>
      </c>
      <c r="AS46" s="47">
        <f t="shared" si="30"/>
        <v>2.7517402692440851</v>
      </c>
      <c r="AT46" s="63">
        <f t="shared" si="31"/>
        <v>0.25195075442203674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</row>
    <row r="47" spans="1:116" x14ac:dyDescent="0.2">
      <c r="A47" s="74" t="s">
        <v>66</v>
      </c>
      <c r="B47" s="83">
        <v>5.4</v>
      </c>
      <c r="C47" s="83">
        <v>12.3</v>
      </c>
      <c r="D47" s="83">
        <v>8.8500000000000014</v>
      </c>
      <c r="E47" s="102" t="s">
        <v>13</v>
      </c>
      <c r="F47" s="13"/>
      <c r="G47" s="36">
        <f>(X47*100)/D47</f>
        <v>4.5083136648456126</v>
      </c>
      <c r="H47" s="36">
        <f>G47*2.39</f>
        <v>10.774869658981014</v>
      </c>
      <c r="I47" s="37">
        <f>H47*1.96</f>
        <v>21.118744531602786</v>
      </c>
      <c r="J47" s="62">
        <f>AT47</f>
        <v>0.25495452265213991</v>
      </c>
      <c r="K47" s="128"/>
      <c r="L47" s="127">
        <v>13</v>
      </c>
      <c r="M47" s="121">
        <v>20</v>
      </c>
      <c r="N47" s="121">
        <v>13</v>
      </c>
      <c r="O47" s="121">
        <v>20</v>
      </c>
      <c r="P47" s="33">
        <v>11.63</v>
      </c>
      <c r="Q47" s="33">
        <v>12.97</v>
      </c>
      <c r="R47" s="45">
        <f>(LN(C47)-LN(B47))/3.92</f>
        <v>0.21000007877758756</v>
      </c>
      <c r="S47" s="45">
        <f>100*(EXP(R47^2)-1)^0.5</f>
        <v>21.233674417627928</v>
      </c>
      <c r="T47" s="45">
        <f>(S47-0.25)^0.5</f>
        <v>4.5807940815570314</v>
      </c>
      <c r="U47" s="45">
        <f>(B47*C47)^0.5</f>
        <v>8.1498466243236756</v>
      </c>
      <c r="V47" s="45">
        <f>T47*U47*0.01</f>
        <v>0.37332769182299447</v>
      </c>
      <c r="W47" s="45">
        <f>(V47-0.2*V47)/U47</f>
        <v>3.6646352652456256E-2</v>
      </c>
      <c r="X47" s="45">
        <f>(D47*W47)+(0.2*V47)</f>
        <v>0.39898575933883679</v>
      </c>
      <c r="Y47" s="45">
        <f t="shared" si="40"/>
        <v>8.8500000000000014</v>
      </c>
      <c r="Z47" s="45"/>
      <c r="AA47" s="45">
        <f>(B47*W47)+(0.2*V47)</f>
        <v>0.2725558426878627</v>
      </c>
      <c r="AB47" s="45">
        <f>(C47*W47)+(0.2*V47)</f>
        <v>0.52541567598981087</v>
      </c>
      <c r="AC47" s="45">
        <f t="shared" si="15"/>
        <v>0.35</v>
      </c>
      <c r="AD47" s="45">
        <f t="shared" si="16"/>
        <v>0.67</v>
      </c>
      <c r="AE47" s="45">
        <f t="shared" si="17"/>
        <v>5.0500000000000007</v>
      </c>
      <c r="AF47" s="45">
        <f t="shared" si="18"/>
        <v>5.75</v>
      </c>
      <c r="AG47" s="45">
        <f t="shared" si="19"/>
        <v>11.63</v>
      </c>
      <c r="AH47" s="45">
        <f t="shared" si="20"/>
        <v>12.97</v>
      </c>
      <c r="AI47" s="46"/>
      <c r="AJ47" s="46">
        <f t="shared" si="21"/>
        <v>5.4</v>
      </c>
      <c r="AK47" s="46">
        <f t="shared" si="22"/>
        <v>12.3</v>
      </c>
      <c r="AL47" s="46">
        <f t="shared" si="23"/>
        <v>2.0979991079743003</v>
      </c>
      <c r="AM47" s="46">
        <f t="shared" si="24"/>
        <v>8.331546760850399</v>
      </c>
      <c r="AN47" s="46">
        <f t="shared" si="25"/>
        <v>1.7690935131513994</v>
      </c>
      <c r="AO47" s="46">
        <f t="shared" si="26"/>
        <v>1.8135273624705939</v>
      </c>
      <c r="AP47" s="46">
        <f t="shared" si="27"/>
        <v>2.0969031218558856</v>
      </c>
      <c r="AQ47" s="46">
        <f t="shared" si="28"/>
        <v>0.21515576990502183</v>
      </c>
      <c r="AR47" s="46">
        <f t="shared" si="29"/>
        <v>2.4997895148220373</v>
      </c>
      <c r="AS47" s="47">
        <f t="shared" si="30"/>
        <v>2.7547440374741772</v>
      </c>
      <c r="AT47" s="63">
        <f t="shared" si="31"/>
        <v>0.25495452265213991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</row>
    <row r="48" spans="1:116" x14ac:dyDescent="0.2">
      <c r="A48" s="74" t="s">
        <v>200</v>
      </c>
      <c r="B48" s="83">
        <v>1</v>
      </c>
      <c r="C48" s="89">
        <v>12</v>
      </c>
      <c r="D48" s="83">
        <v>6.5</v>
      </c>
      <c r="E48" s="99" t="s">
        <v>43</v>
      </c>
      <c r="F48" s="11"/>
      <c r="G48" s="36"/>
      <c r="H48" s="36"/>
      <c r="I48" s="37"/>
      <c r="J48" s="62"/>
      <c r="K48" s="128"/>
      <c r="L48" s="127">
        <v>14</v>
      </c>
      <c r="M48" s="121">
        <v>21</v>
      </c>
      <c r="N48" s="121">
        <v>14</v>
      </c>
      <c r="O48" s="121">
        <v>21</v>
      </c>
      <c r="P48" s="33"/>
      <c r="Q48" s="33"/>
      <c r="R48" s="45">
        <f>(LN(C48)-LN(B48))/3.92</f>
        <v>0.63390475759897968</v>
      </c>
      <c r="S48" s="45">
        <f>100*(EXP(R48^2)-1)^0.5</f>
        <v>70.325320504024788</v>
      </c>
      <c r="T48" s="45">
        <f>(S48-0.25)^0.5</f>
        <v>8.371100316208425</v>
      </c>
      <c r="U48" s="45">
        <f>(B48*C48)^0.5</f>
        <v>3.4641016151377544</v>
      </c>
      <c r="V48" s="45">
        <f>T48*U48*0.01</f>
        <v>0.28998342125857773</v>
      </c>
      <c r="W48" s="45">
        <f>(V48-0.2*V48)/U48</f>
        <v>6.6968802529667401E-2</v>
      </c>
      <c r="X48" s="45">
        <f>(D48*W48)+(0.2*V48)</f>
        <v>0.49329390069455364</v>
      </c>
      <c r="Y48" s="45">
        <f t="shared" si="40"/>
        <v>6.5</v>
      </c>
      <c r="Z48" s="45"/>
      <c r="AA48" s="45"/>
      <c r="AB48" s="45"/>
      <c r="AC48" s="45">
        <f t="shared" si="15"/>
        <v>0</v>
      </c>
      <c r="AD48" s="45">
        <f t="shared" si="16"/>
        <v>0</v>
      </c>
      <c r="AE48" s="45">
        <f t="shared" si="17"/>
        <v>1</v>
      </c>
      <c r="AF48" s="45">
        <f t="shared" si="18"/>
        <v>1</v>
      </c>
      <c r="AG48" s="45">
        <f t="shared" si="19"/>
        <v>12</v>
      </c>
      <c r="AH48" s="45">
        <f t="shared" si="20"/>
        <v>12</v>
      </c>
      <c r="AI48" s="46"/>
      <c r="AJ48" s="46">
        <f t="shared" si="21"/>
        <v>1</v>
      </c>
      <c r="AK48" s="46">
        <f t="shared" si="22"/>
        <v>12</v>
      </c>
      <c r="AL48" s="46">
        <f t="shared" si="23"/>
        <v>1.2424533248940002</v>
      </c>
      <c r="AM48" s="46">
        <f t="shared" si="24"/>
        <v>4.2349475610440059</v>
      </c>
      <c r="AN48" s="46">
        <f t="shared" si="25"/>
        <v>2.9782404454815783</v>
      </c>
      <c r="AO48" s="46">
        <f t="shared" si="26"/>
        <v>3.0188168251095919</v>
      </c>
      <c r="AP48" s="46">
        <f t="shared" si="27"/>
        <v>1.2379346957421851</v>
      </c>
      <c r="AQ48" s="46">
        <f t="shared" si="28"/>
        <v>0.64099336970849508</v>
      </c>
      <c r="AR48" s="46">
        <f t="shared" si="29"/>
        <v>2.4997895148220484</v>
      </c>
      <c r="AS48" s="47">
        <f t="shared" si="30"/>
        <v>2.5864979714089964</v>
      </c>
      <c r="AT48" s="63">
        <f t="shared" si="31"/>
        <v>8.6708456586948035E-2</v>
      </c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</row>
    <row r="49" spans="1:116" ht="14.1" customHeight="1" x14ac:dyDescent="0.2">
      <c r="A49" s="74" t="s">
        <v>156</v>
      </c>
      <c r="B49" s="83">
        <v>9</v>
      </c>
      <c r="C49" s="83">
        <v>36</v>
      </c>
      <c r="D49" s="83">
        <v>22.5</v>
      </c>
      <c r="E49" s="102" t="s">
        <v>11</v>
      </c>
      <c r="F49" s="13" t="s">
        <v>83</v>
      </c>
      <c r="G49" s="36">
        <f>(X49*100)/D49</f>
        <v>5.7799445002074634</v>
      </c>
      <c r="H49" s="36">
        <f>G49*2.39</f>
        <v>13.814067355495839</v>
      </c>
      <c r="I49" s="37">
        <f>H49*1.96</f>
        <v>27.075572016771844</v>
      </c>
      <c r="J49" s="62">
        <f>AT49</f>
        <v>0.15211344385658299</v>
      </c>
      <c r="K49" s="128">
        <v>6</v>
      </c>
      <c r="L49" s="127">
        <v>11.5</v>
      </c>
      <c r="M49" s="121">
        <v>21</v>
      </c>
      <c r="N49" s="121">
        <v>11.5</v>
      </c>
      <c r="O49" s="121">
        <v>21</v>
      </c>
      <c r="P49" s="33">
        <v>33.5</v>
      </c>
      <c r="Q49" s="33">
        <v>38.5</v>
      </c>
      <c r="R49" s="45">
        <f>(LN(C49)-LN(B49))/3.92</f>
        <v>0.35364652069384961</v>
      </c>
      <c r="S49" s="45">
        <f>100*(EXP(R49^2)-1)^0.5</f>
        <v>36.49973787486816</v>
      </c>
      <c r="T49" s="45">
        <f>(S49-0.25)^0.5</f>
        <v>6.0207755210494405</v>
      </c>
      <c r="U49" s="45">
        <f>(B49*C49)^0.5</f>
        <v>18</v>
      </c>
      <c r="V49" s="45">
        <f>T49*U49*0.01</f>
        <v>1.0837395937888994</v>
      </c>
      <c r="W49" s="45">
        <f>(V49-0.2*V49)/U49</f>
        <v>4.8166204168395531E-2</v>
      </c>
      <c r="X49" s="45">
        <f>(D49*W49)+(0.2*V49)</f>
        <v>1.3004875125466793</v>
      </c>
      <c r="Y49" s="45">
        <f t="shared" si="40"/>
        <v>22.5</v>
      </c>
      <c r="Z49" s="45"/>
      <c r="AA49" s="45">
        <f>(B49*W49)+(0.2*V49)</f>
        <v>0.65024375627333963</v>
      </c>
      <c r="AB49" s="45">
        <f>(C49*W49)+(0.2*V49)</f>
        <v>1.9507312688200189</v>
      </c>
      <c r="AC49" s="45">
        <f t="shared" si="15"/>
        <v>0.83</v>
      </c>
      <c r="AD49" s="45">
        <f t="shared" si="16"/>
        <v>2.5</v>
      </c>
      <c r="AE49" s="45">
        <f t="shared" si="17"/>
        <v>8.17</v>
      </c>
      <c r="AF49" s="45">
        <f t="shared" si="18"/>
        <v>9.83</v>
      </c>
      <c r="AG49" s="45">
        <f t="shared" si="19"/>
        <v>33.5</v>
      </c>
      <c r="AH49" s="45">
        <f t="shared" si="20"/>
        <v>38.5</v>
      </c>
      <c r="AI49" s="46"/>
      <c r="AJ49" s="46">
        <f t="shared" si="21"/>
        <v>9</v>
      </c>
      <c r="AK49" s="46">
        <f t="shared" si="22"/>
        <v>36</v>
      </c>
      <c r="AL49" s="46">
        <f t="shared" si="23"/>
        <v>2.8903717578961645</v>
      </c>
      <c r="AM49" s="46">
        <f t="shared" si="24"/>
        <v>19.161531254674408</v>
      </c>
      <c r="AN49" s="46">
        <f t="shared" si="25"/>
        <v>6.9939086807670954</v>
      </c>
      <c r="AO49" s="46">
        <f t="shared" si="26"/>
        <v>7.1137912820941818</v>
      </c>
      <c r="AP49" s="46">
        <f t="shared" si="27"/>
        <v>2.8883434897210174</v>
      </c>
      <c r="AQ49" s="46">
        <f t="shared" si="28"/>
        <v>0.35933605155781323</v>
      </c>
      <c r="AR49" s="46">
        <f t="shared" si="29"/>
        <v>2.4997895148220373</v>
      </c>
      <c r="AS49" s="47">
        <f t="shared" si="30"/>
        <v>2.6519029586786202</v>
      </c>
      <c r="AT49" s="63">
        <f t="shared" si="31"/>
        <v>0.15211344385658299</v>
      </c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</row>
    <row r="50" spans="1:116" x14ac:dyDescent="0.2">
      <c r="A50" s="74" t="s">
        <v>201</v>
      </c>
      <c r="B50" s="83">
        <v>5</v>
      </c>
      <c r="C50" s="89">
        <v>10</v>
      </c>
      <c r="D50" s="83">
        <v>7.5</v>
      </c>
      <c r="E50" s="99" t="s">
        <v>23</v>
      </c>
      <c r="F50" s="11"/>
      <c r="G50" s="36"/>
      <c r="H50" s="36"/>
      <c r="I50" s="37"/>
      <c r="J50" s="62"/>
      <c r="K50" s="128"/>
      <c r="L50" s="127"/>
      <c r="N50" s="121">
        <v>25</v>
      </c>
      <c r="P50" s="33"/>
      <c r="Q50" s="33"/>
      <c r="R50" s="45">
        <f>(LN(C50)-LN(B50))/3.92</f>
        <v>0.17682326034692492</v>
      </c>
      <c r="S50" s="45">
        <f>100*(EXP(R50^2)-1)^0.5</f>
        <v>17.821446548069662</v>
      </c>
      <c r="T50" s="45">
        <f>(S50-0.25)^0.5</f>
        <v>4.1918309302820962</v>
      </c>
      <c r="U50" s="45">
        <f>(B50*C50)^0.5</f>
        <v>7.0710678118654755</v>
      </c>
      <c r="V50" s="45">
        <f>T50*U50*0.01</f>
        <v>0.29640720763899842</v>
      </c>
      <c r="W50" s="45">
        <f>(V50-0.2*V50)/U50</f>
        <v>3.3534647442256767E-2</v>
      </c>
      <c r="X50" s="45">
        <f>(D50*W50)+(0.2*V50)</f>
        <v>0.31079129734472544</v>
      </c>
      <c r="Y50" s="45">
        <f t="shared" si="40"/>
        <v>7.5</v>
      </c>
      <c r="Z50" s="45"/>
      <c r="AA50" s="45"/>
      <c r="AB50" s="45"/>
      <c r="AC50" s="45">
        <f t="shared" si="15"/>
        <v>0</v>
      </c>
      <c r="AD50" s="45">
        <f t="shared" si="16"/>
        <v>0</v>
      </c>
      <c r="AE50" s="45">
        <f t="shared" si="17"/>
        <v>5</v>
      </c>
      <c r="AF50" s="45">
        <f t="shared" si="18"/>
        <v>5</v>
      </c>
      <c r="AG50" s="45">
        <f t="shared" si="19"/>
        <v>10</v>
      </c>
      <c r="AH50" s="45">
        <f t="shared" si="20"/>
        <v>10</v>
      </c>
      <c r="AI50" s="46"/>
      <c r="AJ50" s="46">
        <f t="shared" si="21"/>
        <v>5</v>
      </c>
      <c r="AK50" s="46">
        <f t="shared" si="22"/>
        <v>10</v>
      </c>
      <c r="AL50" s="46">
        <f t="shared" si="23"/>
        <v>1.9560115027140732</v>
      </c>
      <c r="AM50" s="46">
        <f t="shared" si="24"/>
        <v>7.1824800581225805</v>
      </c>
      <c r="AN50" s="46">
        <f t="shared" si="25"/>
        <v>1.2800218443840785</v>
      </c>
      <c r="AO50" s="46">
        <f t="shared" si="26"/>
        <v>1.31721188599467</v>
      </c>
      <c r="AP50" s="46">
        <f t="shared" si="27"/>
        <v>1.9551049642666334</v>
      </c>
      <c r="AQ50" s="46">
        <f t="shared" si="28"/>
        <v>0.18187782243747094</v>
      </c>
      <c r="AR50" s="46">
        <f t="shared" si="29"/>
        <v>2.4997895148220484</v>
      </c>
      <c r="AS50" s="47">
        <f t="shared" si="30"/>
        <v>2.8033531834854575</v>
      </c>
      <c r="AT50" s="63">
        <f t="shared" si="31"/>
        <v>0.30356366866340911</v>
      </c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</row>
    <row r="51" spans="1:116" x14ac:dyDescent="0.2">
      <c r="A51" s="74" t="s">
        <v>37</v>
      </c>
      <c r="B51" s="83">
        <v>70</v>
      </c>
      <c r="C51" s="97">
        <v>115</v>
      </c>
      <c r="D51" s="83">
        <v>92.5</v>
      </c>
      <c r="E51" s="107" t="s">
        <v>38</v>
      </c>
      <c r="F51" s="20" t="s">
        <v>89</v>
      </c>
      <c r="G51" s="36">
        <f t="shared" ref="G51:G57" si="69">(X51*100)/D51</f>
        <v>3.509394418741913</v>
      </c>
      <c r="H51" s="36">
        <f t="shared" ref="H51:H58" si="70">G51*2.39</f>
        <v>8.3874526607931728</v>
      </c>
      <c r="I51" s="37">
        <f t="shared" ref="I51:I58" si="71">H51*1.96</f>
        <v>16.439407215154617</v>
      </c>
      <c r="J51" s="62">
        <f t="shared" ref="J51:J58" si="72">AT51</f>
        <v>0.42671958898328199</v>
      </c>
      <c r="K51" s="127"/>
      <c r="L51" s="127"/>
      <c r="N51" s="121">
        <v>11</v>
      </c>
      <c r="O51" s="121">
        <v>15</v>
      </c>
      <c r="P51" s="33">
        <v>110.03</v>
      </c>
      <c r="Q51" s="33">
        <v>119.97</v>
      </c>
      <c r="R51" s="45">
        <f t="shared" ref="R51:R59" si="73">(LN(C51)-LN(B51))/3.92</f>
        <v>0.12664206283517623</v>
      </c>
      <c r="S51" s="45">
        <f t="shared" ref="S51:S59" si="74">100*(EXP(R51^2)-1)^0.5</f>
        <v>12.715154162538944</v>
      </c>
      <c r="T51" s="45">
        <f t="shared" ref="T51:T59" si="75">(S51-0.25)^0.5</f>
        <v>3.5306025211766539</v>
      </c>
      <c r="U51" s="45">
        <f t="shared" ref="U51:U59" si="76">(B51*C51)^0.5</f>
        <v>89.721792224631798</v>
      </c>
      <c r="V51" s="45">
        <f t="shared" ref="V51:V59" si="77">T51*U51*0.01</f>
        <v>3.1677198583277293</v>
      </c>
      <c r="W51" s="45">
        <f t="shared" ref="W51:W59" si="78">(V51-0.2*V51)/U51</f>
        <v>2.8244820169413234E-2</v>
      </c>
      <c r="X51" s="45">
        <f t="shared" ref="X51:X57" si="79">(D51*W51)+(0.2*V51)</f>
        <v>3.2461898373362699</v>
      </c>
      <c r="Y51" s="45">
        <f t="shared" si="40"/>
        <v>92.5</v>
      </c>
      <c r="Z51" s="45"/>
      <c r="AA51" s="45">
        <f t="shared" ref="AA51:AA58" si="80">(B51*W51)+(0.2*V51)</f>
        <v>2.6106813835244722</v>
      </c>
      <c r="AB51" s="45">
        <f t="shared" ref="AB51:AB58" si="81">(C51*W51)+(0.2*V51)</f>
        <v>3.8816982911480675</v>
      </c>
      <c r="AC51" s="45">
        <f t="shared" si="15"/>
        <v>3.34</v>
      </c>
      <c r="AD51" s="45">
        <f t="shared" si="16"/>
        <v>4.97</v>
      </c>
      <c r="AE51" s="45">
        <f t="shared" si="17"/>
        <v>66.66</v>
      </c>
      <c r="AF51" s="45">
        <f t="shared" si="18"/>
        <v>73.34</v>
      </c>
      <c r="AG51" s="45">
        <f t="shared" si="19"/>
        <v>110.03</v>
      </c>
      <c r="AH51" s="45">
        <f t="shared" si="20"/>
        <v>119.97</v>
      </c>
      <c r="AI51" s="46"/>
      <c r="AJ51" s="46">
        <f t="shared" si="21"/>
        <v>70</v>
      </c>
      <c r="AK51" s="46">
        <f t="shared" si="22"/>
        <v>115</v>
      </c>
      <c r="AL51" s="46">
        <f t="shared" si="23"/>
        <v>4.4967136852063048</v>
      </c>
      <c r="AM51" s="46">
        <f t="shared" si="24"/>
        <v>90.444173344824122</v>
      </c>
      <c r="AN51" s="46">
        <f t="shared" si="25"/>
        <v>11.500116071828343</v>
      </c>
      <c r="AO51" s="46">
        <f t="shared" si="26"/>
        <v>11.949494471547732</v>
      </c>
      <c r="AP51" s="46">
        <f t="shared" si="27"/>
        <v>4.4960802295736579</v>
      </c>
      <c r="AQ51" s="46">
        <f t="shared" si="28"/>
        <v>0.13154893897117634</v>
      </c>
      <c r="AR51" s="46">
        <f t="shared" si="29"/>
        <v>2.4997895148220484</v>
      </c>
      <c r="AS51" s="47">
        <f t="shared" si="30"/>
        <v>2.9265091038053304</v>
      </c>
      <c r="AT51" s="63">
        <f t="shared" si="31"/>
        <v>0.42671958898328199</v>
      </c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x14ac:dyDescent="0.2">
      <c r="A52" s="74" t="s">
        <v>36</v>
      </c>
      <c r="B52" s="83">
        <v>3.9</v>
      </c>
      <c r="C52" s="97">
        <v>6.4</v>
      </c>
      <c r="D52" s="83">
        <v>5.15</v>
      </c>
      <c r="E52" s="107" t="s">
        <v>20</v>
      </c>
      <c r="F52" s="20" t="s">
        <v>89</v>
      </c>
      <c r="G52" s="36">
        <f t="shared" si="69"/>
        <v>3.5054308426103882</v>
      </c>
      <c r="H52" s="36">
        <f t="shared" si="70"/>
        <v>8.3779797138388279</v>
      </c>
      <c r="I52" s="37">
        <f t="shared" si="71"/>
        <v>16.420840239124104</v>
      </c>
      <c r="J52" s="62">
        <f t="shared" si="72"/>
        <v>0.42770040424442435</v>
      </c>
      <c r="K52" s="128">
        <v>5</v>
      </c>
      <c r="L52" s="127">
        <v>11</v>
      </c>
      <c r="M52" s="121">
        <v>15</v>
      </c>
      <c r="P52" s="33">
        <v>6.12</v>
      </c>
      <c r="Q52" s="33">
        <v>6.6800000000000006</v>
      </c>
      <c r="R52" s="45">
        <f t="shared" si="73"/>
        <v>0.12635750949745553</v>
      </c>
      <c r="S52" s="45">
        <f t="shared" si="74"/>
        <v>12.686355413814926</v>
      </c>
      <c r="T52" s="45">
        <f t="shared" si="75"/>
        <v>3.5265217160560525</v>
      </c>
      <c r="U52" s="45">
        <f t="shared" si="76"/>
        <v>4.9959983987187186</v>
      </c>
      <c r="V52" s="45">
        <f t="shared" si="77"/>
        <v>0.17618496846462825</v>
      </c>
      <c r="W52" s="45">
        <f t="shared" si="78"/>
        <v>2.8212173728448416E-2</v>
      </c>
      <c r="X52" s="45">
        <f t="shared" si="79"/>
        <v>0.18052968839443501</v>
      </c>
      <c r="Y52" s="45">
        <f t="shared" si="40"/>
        <v>5.15</v>
      </c>
      <c r="Z52" s="45"/>
      <c r="AA52" s="45">
        <f t="shared" si="80"/>
        <v>0.14526447123387448</v>
      </c>
      <c r="AB52" s="45">
        <f t="shared" si="81"/>
        <v>0.21579490555499553</v>
      </c>
      <c r="AC52" s="45">
        <f t="shared" si="15"/>
        <v>0.19</v>
      </c>
      <c r="AD52" s="45">
        <f t="shared" si="16"/>
        <v>0.28000000000000003</v>
      </c>
      <c r="AE52" s="45">
        <f t="shared" si="17"/>
        <v>3.71</v>
      </c>
      <c r="AF52" s="45">
        <f t="shared" si="18"/>
        <v>4.09</v>
      </c>
      <c r="AG52" s="45">
        <f t="shared" si="19"/>
        <v>6.12</v>
      </c>
      <c r="AH52" s="45">
        <f t="shared" si="20"/>
        <v>6.6800000000000006</v>
      </c>
      <c r="AI52" s="46">
        <v>0</v>
      </c>
      <c r="AJ52" s="46">
        <f t="shared" si="21"/>
        <v>3.9</v>
      </c>
      <c r="AK52" s="46">
        <f t="shared" si="22"/>
        <v>6.4</v>
      </c>
      <c r="AL52" s="46">
        <f t="shared" si="23"/>
        <v>1.6086372717506134</v>
      </c>
      <c r="AM52" s="46">
        <f t="shared" si="24"/>
        <v>5.0360416260947778</v>
      </c>
      <c r="AN52" s="46">
        <f t="shared" si="25"/>
        <v>0.63889013947404805</v>
      </c>
      <c r="AO52" s="46">
        <f t="shared" si="26"/>
        <v>0.66390630265795825</v>
      </c>
      <c r="AP52" s="46">
        <f t="shared" si="27"/>
        <v>1.6080053255224462</v>
      </c>
      <c r="AQ52" s="46">
        <f t="shared" si="28"/>
        <v>0.13126352373273426</v>
      </c>
      <c r="AR52" s="46">
        <f t="shared" si="29"/>
        <v>2.4997895148220484</v>
      </c>
      <c r="AS52" s="47">
        <f t="shared" si="30"/>
        <v>2.9274899190664727</v>
      </c>
      <c r="AT52" s="63">
        <f t="shared" si="31"/>
        <v>0.42770040424442435</v>
      </c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</row>
    <row r="53" spans="1:116" ht="14.45" customHeight="1" x14ac:dyDescent="0.2">
      <c r="A53" s="76" t="s">
        <v>157</v>
      </c>
      <c r="B53" s="86">
        <v>1.5</v>
      </c>
      <c r="C53" s="86">
        <v>10</v>
      </c>
      <c r="D53" s="83">
        <v>5.75</v>
      </c>
      <c r="E53" s="99" t="s">
        <v>43</v>
      </c>
      <c r="F53" s="5" t="s">
        <v>119</v>
      </c>
      <c r="G53" s="36">
        <f t="shared" si="69"/>
        <v>6.6832240813543349</v>
      </c>
      <c r="H53" s="36">
        <f t="shared" si="70"/>
        <v>15.972905554436862</v>
      </c>
      <c r="I53" s="37">
        <f t="shared" si="71"/>
        <v>31.306894886696249</v>
      </c>
      <c r="J53" s="62">
        <f t="shared" si="72"/>
        <v>0.11279826455552477</v>
      </c>
      <c r="K53" s="128">
        <v>12</v>
      </c>
      <c r="L53" s="127">
        <v>17</v>
      </c>
      <c r="M53" s="121">
        <v>30</v>
      </c>
      <c r="N53" s="121">
        <v>17</v>
      </c>
      <c r="O53" s="121">
        <v>30</v>
      </c>
      <c r="P53" s="33">
        <v>9.1999999999999993</v>
      </c>
      <c r="Q53" s="33">
        <v>10.8</v>
      </c>
      <c r="R53" s="45">
        <f t="shared" si="73"/>
        <v>0.48395917981782693</v>
      </c>
      <c r="S53" s="45">
        <f t="shared" si="74"/>
        <v>51.372958387566349</v>
      </c>
      <c r="T53" s="45">
        <f t="shared" si="75"/>
        <v>7.1500320550027148</v>
      </c>
      <c r="U53" s="45">
        <f t="shared" si="76"/>
        <v>3.872983346207417</v>
      </c>
      <c r="V53" s="45">
        <f t="shared" si="77"/>
        <v>0.27691955073874708</v>
      </c>
      <c r="W53" s="45">
        <f t="shared" si="78"/>
        <v>5.7200256440021718E-2</v>
      </c>
      <c r="X53" s="45">
        <f t="shared" si="79"/>
        <v>0.38428538467787426</v>
      </c>
      <c r="Y53" s="45">
        <f t="shared" si="40"/>
        <v>5.75</v>
      </c>
      <c r="Z53" s="45"/>
      <c r="AA53" s="45">
        <f t="shared" si="80"/>
        <v>0.141184294807782</v>
      </c>
      <c r="AB53" s="45">
        <f t="shared" si="81"/>
        <v>0.62738647454796659</v>
      </c>
      <c r="AC53" s="45">
        <f t="shared" si="15"/>
        <v>0.18</v>
      </c>
      <c r="AD53" s="45">
        <f t="shared" si="16"/>
        <v>0.8</v>
      </c>
      <c r="AE53" s="45">
        <f t="shared" si="17"/>
        <v>1.32</v>
      </c>
      <c r="AF53" s="45">
        <f t="shared" si="18"/>
        <v>1.68</v>
      </c>
      <c r="AG53" s="45">
        <f t="shared" si="19"/>
        <v>9.1999999999999993</v>
      </c>
      <c r="AH53" s="45">
        <f t="shared" si="20"/>
        <v>10.8</v>
      </c>
      <c r="AI53" s="46"/>
      <c r="AJ53" s="46">
        <f t="shared" si="21"/>
        <v>1.5</v>
      </c>
      <c r="AK53" s="46">
        <f t="shared" si="22"/>
        <v>10</v>
      </c>
      <c r="AL53" s="46">
        <f t="shared" si="23"/>
        <v>1.3540251005511053</v>
      </c>
      <c r="AM53" s="46">
        <f t="shared" si="24"/>
        <v>4.3541671167096858</v>
      </c>
      <c r="AN53" s="46">
        <f t="shared" si="25"/>
        <v>2.2368644609923645</v>
      </c>
      <c r="AO53" s="46">
        <f t="shared" si="26"/>
        <v>2.2696338633637985</v>
      </c>
      <c r="AP53" s="46">
        <f t="shared" si="27"/>
        <v>1.3509531528981633</v>
      </c>
      <c r="AQ53" s="46">
        <f t="shared" si="28"/>
        <v>0.49026562497877352</v>
      </c>
      <c r="AR53" s="46">
        <f t="shared" si="29"/>
        <v>2.4997895148220484</v>
      </c>
      <c r="AS53" s="47">
        <f t="shared" si="30"/>
        <v>2.6125877793775731</v>
      </c>
      <c r="AT53" s="63">
        <f t="shared" si="31"/>
        <v>0.11279826455552477</v>
      </c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1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2"/>
      <c r="CV53" s="21"/>
      <c r="CW53" s="21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</row>
    <row r="54" spans="1:116" ht="14.25" x14ac:dyDescent="0.2">
      <c r="A54" s="74" t="s">
        <v>243</v>
      </c>
      <c r="B54" s="83">
        <v>3.4</v>
      </c>
      <c r="C54" s="83">
        <v>4.7</v>
      </c>
      <c r="D54" s="83">
        <v>4.05</v>
      </c>
      <c r="E54" s="102" t="s">
        <v>40</v>
      </c>
      <c r="F54" s="13"/>
      <c r="G54" s="36">
        <f t="shared" si="69"/>
        <v>2.825319503418684</v>
      </c>
      <c r="H54" s="36">
        <f t="shared" si="70"/>
        <v>6.7525136131706551</v>
      </c>
      <c r="I54" s="37">
        <f t="shared" si="71"/>
        <v>13.234926681814484</v>
      </c>
      <c r="J54" s="62">
        <f t="shared" si="72"/>
        <v>0.65895069535030215</v>
      </c>
      <c r="K54" s="127">
        <v>6</v>
      </c>
      <c r="L54" s="127"/>
      <c r="P54" s="33">
        <v>4.53</v>
      </c>
      <c r="Q54" s="33">
        <v>4.87</v>
      </c>
      <c r="R54" s="45">
        <f t="shared" si="73"/>
        <v>8.2598744156606466E-2</v>
      </c>
      <c r="S54" s="45">
        <f t="shared" si="74"/>
        <v>8.2739828176536463</v>
      </c>
      <c r="T54" s="45">
        <f t="shared" si="75"/>
        <v>2.8326635553227364</v>
      </c>
      <c r="U54" s="45">
        <f t="shared" si="76"/>
        <v>3.9974992182613369</v>
      </c>
      <c r="V54" s="45">
        <f t="shared" si="77"/>
        <v>0.11323570348000019</v>
      </c>
      <c r="W54" s="45">
        <f t="shared" si="78"/>
        <v>2.2661308442581893E-2</v>
      </c>
      <c r="X54" s="45">
        <f t="shared" si="79"/>
        <v>0.11442543988845669</v>
      </c>
      <c r="Y54" s="45">
        <f t="shared" si="40"/>
        <v>4.05</v>
      </c>
      <c r="Z54" s="45"/>
      <c r="AA54" s="45">
        <f t="shared" si="80"/>
        <v>9.9695589400778467E-2</v>
      </c>
      <c r="AB54" s="45">
        <f t="shared" si="81"/>
        <v>0.12915529037613493</v>
      </c>
      <c r="AC54" s="45">
        <f t="shared" si="15"/>
        <v>0.13</v>
      </c>
      <c r="AD54" s="45">
        <f t="shared" si="16"/>
        <v>0.17</v>
      </c>
      <c r="AE54" s="45">
        <f t="shared" si="17"/>
        <v>3.27</v>
      </c>
      <c r="AF54" s="45">
        <f t="shared" si="18"/>
        <v>3.53</v>
      </c>
      <c r="AG54" s="45">
        <f t="shared" si="19"/>
        <v>4.53</v>
      </c>
      <c r="AH54" s="45">
        <f t="shared" si="20"/>
        <v>4.87</v>
      </c>
      <c r="AI54" s="46"/>
      <c r="AJ54" s="46">
        <f t="shared" si="21"/>
        <v>3.4</v>
      </c>
      <c r="AK54" s="46">
        <f t="shared" si="22"/>
        <v>4.7</v>
      </c>
      <c r="AL54" s="46">
        <f t="shared" si="23"/>
        <v>1.3856689701690643</v>
      </c>
      <c r="AM54" s="46">
        <f t="shared" si="24"/>
        <v>4.0111590780077009</v>
      </c>
      <c r="AN54" s="46">
        <f t="shared" si="25"/>
        <v>0.33188261290311161</v>
      </c>
      <c r="AO54" s="46">
        <f t="shared" si="26"/>
        <v>0.35105448300949443</v>
      </c>
      <c r="AP54" s="46">
        <f t="shared" si="27"/>
        <v>1.3852650114671012</v>
      </c>
      <c r="AQ54" s="46">
        <f t="shared" si="28"/>
        <v>8.7352561154065533E-2</v>
      </c>
      <c r="AR54" s="46">
        <f t="shared" si="29"/>
        <v>2.4997895148220484</v>
      </c>
      <c r="AS54" s="47">
        <f t="shared" si="30"/>
        <v>3.1587402101723505</v>
      </c>
      <c r="AT54" s="63">
        <f t="shared" si="31"/>
        <v>0.65895069535030215</v>
      </c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ht="14.25" x14ac:dyDescent="0.2">
      <c r="A55" s="74" t="s">
        <v>243</v>
      </c>
      <c r="B55" s="83">
        <v>14</v>
      </c>
      <c r="C55" s="83">
        <v>28</v>
      </c>
      <c r="D55" s="83">
        <v>21</v>
      </c>
      <c r="E55" s="102" t="s">
        <v>41</v>
      </c>
      <c r="F55" s="13"/>
      <c r="G55" s="36">
        <f t="shared" si="69"/>
        <v>4.1438839645963395</v>
      </c>
      <c r="H55" s="36">
        <f t="shared" si="70"/>
        <v>9.9038826753852511</v>
      </c>
      <c r="I55" s="37">
        <f t="shared" si="71"/>
        <v>19.411610043755093</v>
      </c>
      <c r="J55" s="62">
        <f t="shared" si="72"/>
        <v>0.30356366866340911</v>
      </c>
      <c r="K55" s="128"/>
      <c r="L55" s="127">
        <v>10</v>
      </c>
      <c r="M55" s="121">
        <v>18</v>
      </c>
      <c r="N55" s="131" t="s">
        <v>184</v>
      </c>
      <c r="O55" s="131">
        <v>8</v>
      </c>
      <c r="P55" s="33">
        <v>26.59</v>
      </c>
      <c r="Q55" s="33">
        <v>29.41</v>
      </c>
      <c r="R55" s="45">
        <f t="shared" si="73"/>
        <v>0.17682326034692486</v>
      </c>
      <c r="S55" s="45">
        <f t="shared" si="74"/>
        <v>17.821446548069662</v>
      </c>
      <c r="T55" s="45">
        <f t="shared" si="75"/>
        <v>4.1918309302820962</v>
      </c>
      <c r="U55" s="45">
        <f t="shared" si="76"/>
        <v>19.798989873223331</v>
      </c>
      <c r="V55" s="45">
        <f t="shared" si="77"/>
        <v>0.82994018138919556</v>
      </c>
      <c r="W55" s="45">
        <f t="shared" si="78"/>
        <v>3.3534647442256774E-2</v>
      </c>
      <c r="X55" s="45">
        <f t="shared" si="79"/>
        <v>0.87021563256523138</v>
      </c>
      <c r="Y55" s="45">
        <f t="shared" si="40"/>
        <v>21</v>
      </c>
      <c r="Z55" s="45"/>
      <c r="AA55" s="45">
        <f t="shared" si="80"/>
        <v>0.63547310046943395</v>
      </c>
      <c r="AB55" s="45">
        <f t="shared" si="81"/>
        <v>1.1049581646610289</v>
      </c>
      <c r="AC55" s="45">
        <f t="shared" si="15"/>
        <v>0.81</v>
      </c>
      <c r="AD55" s="45">
        <f t="shared" si="16"/>
        <v>1.41</v>
      </c>
      <c r="AE55" s="45">
        <f t="shared" si="17"/>
        <v>13.19</v>
      </c>
      <c r="AF55" s="45">
        <f t="shared" si="18"/>
        <v>14.81</v>
      </c>
      <c r="AG55" s="45">
        <f t="shared" si="19"/>
        <v>26.59</v>
      </c>
      <c r="AH55" s="45">
        <f t="shared" si="20"/>
        <v>29.41</v>
      </c>
      <c r="AI55" s="46"/>
      <c r="AJ55" s="46">
        <f t="shared" si="21"/>
        <v>14</v>
      </c>
      <c r="AK55" s="46">
        <f t="shared" si="22"/>
        <v>28</v>
      </c>
      <c r="AL55" s="46">
        <f t="shared" si="23"/>
        <v>2.9856309198952311</v>
      </c>
      <c r="AM55" s="46">
        <f t="shared" si="24"/>
        <v>20.110944162743216</v>
      </c>
      <c r="AN55" s="46">
        <f t="shared" si="25"/>
        <v>3.5840611642754183</v>
      </c>
      <c r="AO55" s="46">
        <f t="shared" si="26"/>
        <v>3.6881932807850748</v>
      </c>
      <c r="AP55" s="46">
        <f t="shared" si="27"/>
        <v>2.9847243814477911</v>
      </c>
      <c r="AQ55" s="46">
        <f t="shared" si="28"/>
        <v>0.18187782243747094</v>
      </c>
      <c r="AR55" s="46">
        <f t="shared" si="29"/>
        <v>2.4997895148220484</v>
      </c>
      <c r="AS55" s="47">
        <f t="shared" si="30"/>
        <v>2.8033531834854575</v>
      </c>
      <c r="AT55" s="63">
        <f t="shared" si="31"/>
        <v>0.30356366866340911</v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</row>
    <row r="56" spans="1:116" x14ac:dyDescent="0.2">
      <c r="A56" s="74" t="s">
        <v>42</v>
      </c>
      <c r="B56" s="83">
        <v>34.700000000000003</v>
      </c>
      <c r="C56" s="83">
        <v>44.7</v>
      </c>
      <c r="D56" s="83">
        <v>39.700000000000003</v>
      </c>
      <c r="E56" s="102" t="s">
        <v>40</v>
      </c>
      <c r="F56" s="13" t="s">
        <v>83</v>
      </c>
      <c r="G56" s="36">
        <f t="shared" si="69"/>
        <v>2.4893787754562418</v>
      </c>
      <c r="H56" s="36">
        <f t="shared" si="70"/>
        <v>5.9496152733404184</v>
      </c>
      <c r="I56" s="37">
        <f t="shared" si="71"/>
        <v>11.661245935747219</v>
      </c>
      <c r="J56" s="62">
        <f t="shared" si="72"/>
        <v>0.84373138817385174</v>
      </c>
      <c r="K56" s="128">
        <v>3</v>
      </c>
      <c r="L56" s="127">
        <v>5</v>
      </c>
      <c r="M56" s="121">
        <v>9</v>
      </c>
      <c r="N56" s="121">
        <v>5</v>
      </c>
      <c r="O56" s="121">
        <v>9</v>
      </c>
      <c r="P56" s="33">
        <v>43.31</v>
      </c>
      <c r="Q56" s="33">
        <v>46.09</v>
      </c>
      <c r="R56" s="45">
        <f t="shared" si="73"/>
        <v>6.4600462925181096E-2</v>
      </c>
      <c r="S56" s="45">
        <f t="shared" si="74"/>
        <v>6.4667919541993344</v>
      </c>
      <c r="T56" s="45">
        <f t="shared" si="75"/>
        <v>2.4933495451298708</v>
      </c>
      <c r="U56" s="45">
        <f t="shared" si="76"/>
        <v>39.383879951066277</v>
      </c>
      <c r="V56" s="45">
        <f t="shared" si="77"/>
        <v>0.98197779161440535</v>
      </c>
      <c r="W56" s="45">
        <f t="shared" si="78"/>
        <v>1.9946796361038965E-2</v>
      </c>
      <c r="X56" s="45">
        <f t="shared" si="79"/>
        <v>0.98828337385612808</v>
      </c>
      <c r="Y56" s="45">
        <f t="shared" si="40"/>
        <v>39.700000000000003</v>
      </c>
      <c r="Z56" s="45"/>
      <c r="AA56" s="45">
        <f t="shared" si="80"/>
        <v>0.88854939205093331</v>
      </c>
      <c r="AB56" s="45">
        <f t="shared" si="81"/>
        <v>1.0880173556613228</v>
      </c>
      <c r="AC56" s="45">
        <f t="shared" si="15"/>
        <v>1.1399999999999999</v>
      </c>
      <c r="AD56" s="45">
        <f t="shared" si="16"/>
        <v>1.39</v>
      </c>
      <c r="AE56" s="45">
        <f t="shared" si="17"/>
        <v>33.56</v>
      </c>
      <c r="AF56" s="45">
        <f t="shared" si="18"/>
        <v>35.840000000000003</v>
      </c>
      <c r="AG56" s="45">
        <f t="shared" si="19"/>
        <v>43.31</v>
      </c>
      <c r="AH56" s="45">
        <f t="shared" si="20"/>
        <v>46.09</v>
      </c>
      <c r="AI56" s="46"/>
      <c r="AJ56" s="46">
        <f t="shared" si="21"/>
        <v>34.700000000000003</v>
      </c>
      <c r="AK56" s="46">
        <f t="shared" si="22"/>
        <v>44.7</v>
      </c>
      <c r="AL56" s="46">
        <f t="shared" si="23"/>
        <v>3.6733565942861683</v>
      </c>
      <c r="AM56" s="46">
        <f t="shared" si="24"/>
        <v>39.466144542279913</v>
      </c>
      <c r="AN56" s="46">
        <f t="shared" si="25"/>
        <v>2.5521934598928371</v>
      </c>
      <c r="AO56" s="46">
        <f t="shared" si="26"/>
        <v>2.736858689037529</v>
      </c>
      <c r="AP56" s="46">
        <f t="shared" si="27"/>
        <v>3.6730444642169435</v>
      </c>
      <c r="AQ56" s="46">
        <f t="shared" si="28"/>
        <v>6.9263843010602635E-2</v>
      </c>
      <c r="AR56" s="46">
        <f t="shared" si="29"/>
        <v>2.4997895148220373</v>
      </c>
      <c r="AS56" s="47">
        <f t="shared" si="30"/>
        <v>3.343520902995889</v>
      </c>
      <c r="AT56" s="63">
        <f t="shared" si="31"/>
        <v>0.84373138817385174</v>
      </c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</row>
    <row r="57" spans="1:116" ht="14.1" customHeight="1" x14ac:dyDescent="0.2">
      <c r="A57" s="74" t="s">
        <v>39</v>
      </c>
      <c r="B57" s="83">
        <v>123</v>
      </c>
      <c r="C57" s="83">
        <v>153</v>
      </c>
      <c r="D57" s="83">
        <v>139</v>
      </c>
      <c r="E57" s="102" t="s">
        <v>9</v>
      </c>
      <c r="F57" s="13" t="s">
        <v>83</v>
      </c>
      <c r="G57" s="36">
        <f t="shared" si="69"/>
        <v>2.3009149591418776</v>
      </c>
      <c r="H57" s="36">
        <f t="shared" si="70"/>
        <v>5.4991867523490878</v>
      </c>
      <c r="I57" s="37">
        <f t="shared" si="71"/>
        <v>10.778406034604211</v>
      </c>
      <c r="J57" s="62">
        <f t="shared" si="72"/>
        <v>0.98991529349987673</v>
      </c>
      <c r="K57" s="128">
        <v>2</v>
      </c>
      <c r="L57" s="127">
        <v>4</v>
      </c>
      <c r="M57" s="121">
        <v>6</v>
      </c>
      <c r="N57" s="121">
        <v>4</v>
      </c>
      <c r="O57" s="121">
        <v>6</v>
      </c>
      <c r="P57" s="33">
        <v>148.74</v>
      </c>
      <c r="Q57" s="33">
        <v>157.26</v>
      </c>
      <c r="R57" s="45">
        <f t="shared" si="73"/>
        <v>5.5676930107147506E-2</v>
      </c>
      <c r="S57" s="45">
        <f t="shared" si="74"/>
        <v>5.5720106501039934</v>
      </c>
      <c r="T57" s="45">
        <f t="shared" si="75"/>
        <v>2.306948341446768</v>
      </c>
      <c r="U57" s="45">
        <f t="shared" si="76"/>
        <v>137.18236038208411</v>
      </c>
      <c r="V57" s="45">
        <f t="shared" si="77"/>
        <v>3.1647261875920174</v>
      </c>
      <c r="W57" s="45">
        <f t="shared" si="78"/>
        <v>1.8455586731574145E-2</v>
      </c>
      <c r="X57" s="45">
        <f t="shared" si="79"/>
        <v>3.1982717932072098</v>
      </c>
      <c r="Y57" s="45">
        <f t="shared" si="40"/>
        <v>138</v>
      </c>
      <c r="Z57" s="45"/>
      <c r="AA57" s="45">
        <f t="shared" si="80"/>
        <v>2.9029824055020232</v>
      </c>
      <c r="AB57" s="45">
        <f t="shared" si="81"/>
        <v>3.4566500074492477</v>
      </c>
      <c r="AC57" s="45">
        <f t="shared" si="15"/>
        <v>3.72</v>
      </c>
      <c r="AD57" s="45">
        <f t="shared" si="16"/>
        <v>4.42</v>
      </c>
      <c r="AE57" s="45">
        <f t="shared" si="17"/>
        <v>119.28</v>
      </c>
      <c r="AF57" s="45">
        <f t="shared" si="18"/>
        <v>126.72</v>
      </c>
      <c r="AG57" s="45">
        <f t="shared" si="19"/>
        <v>148.58000000000001</v>
      </c>
      <c r="AH57" s="45">
        <f t="shared" si="20"/>
        <v>157.41999999999999</v>
      </c>
      <c r="AI57" s="46"/>
      <c r="AJ57" s="46">
        <f t="shared" si="21"/>
        <v>123</v>
      </c>
      <c r="AK57" s="46">
        <f t="shared" si="22"/>
        <v>153</v>
      </c>
      <c r="AL57" s="46">
        <f t="shared" si="23"/>
        <v>4.9213111383824266</v>
      </c>
      <c r="AM57" s="46">
        <f t="shared" si="24"/>
        <v>137.39515245787479</v>
      </c>
      <c r="AN57" s="46">
        <f t="shared" si="25"/>
        <v>7.6556725276794015</v>
      </c>
      <c r="AO57" s="46">
        <f t="shared" si="26"/>
        <v>8.2968828070721816</v>
      </c>
      <c r="AP57" s="46">
        <f t="shared" si="27"/>
        <v>4.9210411193554062</v>
      </c>
      <c r="AQ57" s="46">
        <f t="shared" si="28"/>
        <v>6.033206941748212E-2</v>
      </c>
      <c r="AR57" s="46">
        <f t="shared" si="29"/>
        <v>2.4997895148220928</v>
      </c>
      <c r="AS57" s="47">
        <f t="shared" si="30"/>
        <v>3.4897048083219695</v>
      </c>
      <c r="AT57" s="63">
        <f t="shared" si="31"/>
        <v>0.98991529349987673</v>
      </c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</row>
    <row r="58" spans="1:116" s="3" customFormat="1" x14ac:dyDescent="0.2">
      <c r="A58" s="75" t="s">
        <v>203</v>
      </c>
      <c r="B58" s="84">
        <v>0.3</v>
      </c>
      <c r="C58" s="86">
        <v>2</v>
      </c>
      <c r="D58" s="84">
        <v>1.1499999999999999</v>
      </c>
      <c r="E58" s="99" t="s">
        <v>9</v>
      </c>
      <c r="F58" s="11"/>
      <c r="G58" s="36">
        <f>(X58*100)/D58</f>
        <v>6.6832240813543358</v>
      </c>
      <c r="H58" s="36">
        <f t="shared" si="70"/>
        <v>15.972905554436863</v>
      </c>
      <c r="I58" s="37">
        <f t="shared" si="71"/>
        <v>31.306894886696252</v>
      </c>
      <c r="J58" s="62">
        <f t="shared" si="72"/>
        <v>0.11279826455552477</v>
      </c>
      <c r="K58" s="128"/>
      <c r="L58" s="127"/>
      <c r="M58" s="121"/>
      <c r="N58" s="121">
        <v>20</v>
      </c>
      <c r="O58" s="121"/>
      <c r="P58" s="33"/>
      <c r="Q58" s="33"/>
      <c r="R58" s="45">
        <f t="shared" si="73"/>
        <v>0.48395917981782688</v>
      </c>
      <c r="S58" s="45">
        <f t="shared" si="74"/>
        <v>51.372958387566328</v>
      </c>
      <c r="T58" s="45">
        <f t="shared" si="75"/>
        <v>7.1500320550027139</v>
      </c>
      <c r="U58" s="45">
        <f t="shared" si="76"/>
        <v>0.7745966692414834</v>
      </c>
      <c r="V58" s="45">
        <f t="shared" si="77"/>
        <v>5.5383910147749411E-2</v>
      </c>
      <c r="W58" s="45">
        <f t="shared" si="78"/>
        <v>5.7200256440021711E-2</v>
      </c>
      <c r="X58" s="45">
        <f t="shared" ref="X58:X78" si="82">(D58*W58)+(0.2*V58)</f>
        <v>7.685707693557485E-2</v>
      </c>
      <c r="Y58" s="45">
        <f t="shared" si="40"/>
        <v>1.1499999999999999</v>
      </c>
      <c r="Z58" s="45"/>
      <c r="AA58" s="45">
        <f t="shared" si="80"/>
        <v>2.8236858961556397E-2</v>
      </c>
      <c r="AB58" s="45">
        <f t="shared" si="81"/>
        <v>0.12547729490959331</v>
      </c>
      <c r="AC58" s="45">
        <f t="shared" si="15"/>
        <v>0.04</v>
      </c>
      <c r="AD58" s="45">
        <f t="shared" si="16"/>
        <v>0.16</v>
      </c>
      <c r="AE58" s="45">
        <f t="shared" si="17"/>
        <v>0.26</v>
      </c>
      <c r="AF58" s="45">
        <f t="shared" si="18"/>
        <v>0.33999999999999997</v>
      </c>
      <c r="AG58" s="45">
        <f t="shared" si="19"/>
        <v>1.84</v>
      </c>
      <c r="AH58" s="45">
        <f t="shared" si="20"/>
        <v>2.16</v>
      </c>
      <c r="AI58" s="46"/>
      <c r="AJ58" s="46">
        <f t="shared" si="21"/>
        <v>0.3</v>
      </c>
      <c r="AK58" s="46">
        <f t="shared" si="22"/>
        <v>2</v>
      </c>
      <c r="AL58" s="46">
        <f t="shared" si="23"/>
        <v>-0.25541281188299542</v>
      </c>
      <c r="AM58" s="46">
        <f t="shared" si="24"/>
        <v>0.87083342334193692</v>
      </c>
      <c r="AN58" s="46">
        <f t="shared" si="25"/>
        <v>0.44737289219847254</v>
      </c>
      <c r="AO58" s="46">
        <f t="shared" si="26"/>
        <v>0.45392677267275944</v>
      </c>
      <c r="AP58" s="46">
        <f t="shared" si="27"/>
        <v>-0.2584847595359373</v>
      </c>
      <c r="AQ58" s="46">
        <f t="shared" si="28"/>
        <v>0.49026562497877352</v>
      </c>
      <c r="AR58" s="46">
        <f t="shared" si="29"/>
        <v>2.4997895148220484</v>
      </c>
      <c r="AS58" s="47">
        <f t="shared" si="30"/>
        <v>2.6125877793775731</v>
      </c>
      <c r="AT58" s="63">
        <f t="shared" si="31"/>
        <v>0.11279826455552477</v>
      </c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</row>
    <row r="59" spans="1:116" x14ac:dyDescent="0.2">
      <c r="A59" s="75" t="s">
        <v>202</v>
      </c>
      <c r="B59" s="84">
        <v>0.3</v>
      </c>
      <c r="C59" s="86">
        <v>2</v>
      </c>
      <c r="D59" s="84">
        <v>1.1499999999999999</v>
      </c>
      <c r="E59" s="99" t="s">
        <v>9</v>
      </c>
      <c r="F59" s="11"/>
      <c r="G59" s="36"/>
      <c r="H59" s="36"/>
      <c r="I59" s="37"/>
      <c r="J59" s="62"/>
      <c r="K59" s="128"/>
      <c r="L59" s="127"/>
      <c r="N59" s="121">
        <v>10</v>
      </c>
      <c r="P59" s="33"/>
      <c r="Q59" s="33"/>
      <c r="R59" s="45">
        <f t="shared" si="73"/>
        <v>0.48395917981782688</v>
      </c>
      <c r="S59" s="45">
        <f t="shared" si="74"/>
        <v>51.372958387566328</v>
      </c>
      <c r="T59" s="45">
        <f t="shared" si="75"/>
        <v>7.1500320550027139</v>
      </c>
      <c r="U59" s="45">
        <f t="shared" si="76"/>
        <v>0.7745966692414834</v>
      </c>
      <c r="V59" s="45">
        <f t="shared" si="77"/>
        <v>5.5383910147749411E-2</v>
      </c>
      <c r="W59" s="45">
        <f t="shared" si="78"/>
        <v>5.7200256440021711E-2</v>
      </c>
      <c r="X59" s="45">
        <f t="shared" si="82"/>
        <v>7.685707693557485E-2</v>
      </c>
      <c r="Y59" s="45">
        <f t="shared" si="40"/>
        <v>1.1499999999999999</v>
      </c>
      <c r="Z59" s="45"/>
      <c r="AA59" s="45"/>
      <c r="AB59" s="45"/>
      <c r="AC59" s="45">
        <f t="shared" si="15"/>
        <v>0</v>
      </c>
      <c r="AD59" s="45">
        <f t="shared" si="16"/>
        <v>0</v>
      </c>
      <c r="AE59" s="45">
        <f t="shared" si="17"/>
        <v>0.3</v>
      </c>
      <c r="AF59" s="45">
        <f t="shared" si="18"/>
        <v>0.3</v>
      </c>
      <c r="AG59" s="45">
        <f t="shared" si="19"/>
        <v>2</v>
      </c>
      <c r="AH59" s="45">
        <f t="shared" si="20"/>
        <v>2</v>
      </c>
      <c r="AI59" s="46"/>
      <c r="AJ59" s="46">
        <f t="shared" si="21"/>
        <v>0.3</v>
      </c>
      <c r="AK59" s="46">
        <f t="shared" si="22"/>
        <v>2</v>
      </c>
      <c r="AL59" s="46">
        <f t="shared" si="23"/>
        <v>-0.25541281188299542</v>
      </c>
      <c r="AM59" s="46">
        <f t="shared" si="24"/>
        <v>0.87083342334193692</v>
      </c>
      <c r="AN59" s="46">
        <f t="shared" si="25"/>
        <v>0.44737289219847254</v>
      </c>
      <c r="AO59" s="46">
        <f t="shared" si="26"/>
        <v>0.45392677267275944</v>
      </c>
      <c r="AP59" s="46">
        <f t="shared" si="27"/>
        <v>-0.2584847595359373</v>
      </c>
      <c r="AQ59" s="46">
        <f t="shared" si="28"/>
        <v>0.49026562497877352</v>
      </c>
      <c r="AR59" s="46">
        <f t="shared" si="29"/>
        <v>2.4997895148220484</v>
      </c>
      <c r="AS59" s="47">
        <f t="shared" si="30"/>
        <v>2.6125877793775731</v>
      </c>
      <c r="AT59" s="63">
        <f t="shared" si="31"/>
        <v>0.11279826455552477</v>
      </c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</row>
    <row r="60" spans="1:116" ht="12.95" customHeight="1" x14ac:dyDescent="0.2">
      <c r="A60" s="74" t="s">
        <v>172</v>
      </c>
      <c r="B60" s="83">
        <v>202</v>
      </c>
      <c r="C60" s="83">
        <v>416</v>
      </c>
      <c r="D60" s="83">
        <v>309</v>
      </c>
      <c r="E60" s="106" t="s">
        <v>18</v>
      </c>
      <c r="F60" s="13" t="s">
        <v>86</v>
      </c>
      <c r="G60" s="36">
        <f>(X60*100)/D60</f>
        <v>4.2291410951145973</v>
      </c>
      <c r="H60" s="36">
        <f>G60*2.39</f>
        <v>10.107647217323889</v>
      </c>
      <c r="I60" s="37">
        <f>H60*1.96</f>
        <v>19.810988545954821</v>
      </c>
      <c r="J60" s="62">
        <f>AT60</f>
        <v>0.29105646315337186</v>
      </c>
      <c r="K60" s="132">
        <v>4</v>
      </c>
      <c r="L60" s="133">
        <v>7</v>
      </c>
      <c r="M60" s="134">
        <v>13</v>
      </c>
      <c r="N60" s="122">
        <v>7</v>
      </c>
      <c r="O60" s="122">
        <v>13</v>
      </c>
      <c r="P60" s="33">
        <v>394.58</v>
      </c>
      <c r="Q60" s="33">
        <v>437.42</v>
      </c>
      <c r="R60" s="45">
        <f t="shared" ref="R60:R78" si="83">(LN(C60)-LN(B60))/3.92</f>
        <v>0.1842901946071577</v>
      </c>
      <c r="S60" s="45">
        <f t="shared" ref="S60:S78" si="84">100*(EXP(R60^2)-1)^0.5</f>
        <v>18.586607905831187</v>
      </c>
      <c r="T60" s="45">
        <f t="shared" ref="T60:T78" si="85">(S60-0.25)^0.5</f>
        <v>4.282126563499868</v>
      </c>
      <c r="U60" s="45">
        <f t="shared" ref="U60:U78" si="86">(B60*C60)^0.5</f>
        <v>289.882734911895</v>
      </c>
      <c r="V60" s="45">
        <f t="shared" ref="V60:V78" si="87">T60*U60*0.01</f>
        <v>12.413145594662163</v>
      </c>
      <c r="W60" s="45">
        <f t="shared" ref="W60:W78" si="88">(V60-0.2*V60)/U60</f>
        <v>3.4257012507998945E-2</v>
      </c>
      <c r="X60" s="45">
        <f t="shared" si="82"/>
        <v>13.068045983904106</v>
      </c>
      <c r="Y60" s="45">
        <f t="shared" si="40"/>
        <v>309</v>
      </c>
      <c r="Z60" s="45"/>
      <c r="AA60" s="45">
        <f>(B60*W60)+(0.2*V60)</f>
        <v>9.4025456455482193</v>
      </c>
      <c r="AB60" s="45">
        <f>(C60*W60)+(0.2*V60)</f>
        <v>16.733546322259993</v>
      </c>
      <c r="AC60" s="45">
        <f t="shared" si="15"/>
        <v>12.04</v>
      </c>
      <c r="AD60" s="45">
        <f t="shared" si="16"/>
        <v>21.42</v>
      </c>
      <c r="AE60" s="45">
        <f t="shared" si="17"/>
        <v>189.96</v>
      </c>
      <c r="AF60" s="45">
        <f t="shared" si="18"/>
        <v>214.04</v>
      </c>
      <c r="AG60" s="45">
        <f t="shared" si="19"/>
        <v>394.58</v>
      </c>
      <c r="AH60" s="45">
        <f t="shared" si="20"/>
        <v>437.42</v>
      </c>
      <c r="AI60" s="46"/>
      <c r="AJ60" s="46">
        <f t="shared" si="21"/>
        <v>202</v>
      </c>
      <c r="AK60" s="46">
        <f t="shared" si="22"/>
        <v>416</v>
      </c>
      <c r="AL60" s="46">
        <f t="shared" si="23"/>
        <v>5.6694764788312337</v>
      </c>
      <c r="AM60" s="46">
        <f t="shared" si="24"/>
        <v>294.84739480503782</v>
      </c>
      <c r="AN60" s="46">
        <f t="shared" si="25"/>
        <v>54.802129192970455</v>
      </c>
      <c r="AO60" s="46">
        <f t="shared" si="26"/>
        <v>56.338682891246727</v>
      </c>
      <c r="AP60" s="46">
        <f t="shared" si="27"/>
        <v>5.6685279842762579</v>
      </c>
      <c r="AQ60" s="46">
        <f t="shared" si="28"/>
        <v>0.18936701121973476</v>
      </c>
      <c r="AR60" s="46">
        <f t="shared" si="29"/>
        <v>2.4997895148220262</v>
      </c>
      <c r="AS60" s="47">
        <f t="shared" si="30"/>
        <v>2.790845977975398</v>
      </c>
      <c r="AT60" s="63">
        <f t="shared" si="31"/>
        <v>0.29105646315337186</v>
      </c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</row>
    <row r="61" spans="1:116" x14ac:dyDescent="0.2">
      <c r="A61" s="74" t="s">
        <v>173</v>
      </c>
      <c r="B61" s="83">
        <v>2.8</v>
      </c>
      <c r="C61" s="97">
        <v>7.2</v>
      </c>
      <c r="D61" s="83">
        <v>5</v>
      </c>
      <c r="E61" s="107" t="s">
        <v>20</v>
      </c>
      <c r="F61" s="20"/>
      <c r="G61" s="36">
        <f>(X61*100)/D61</f>
        <v>4.818726276876804</v>
      </c>
      <c r="H61" s="36">
        <f>G61*2.39</f>
        <v>11.516755801735561</v>
      </c>
      <c r="I61" s="37">
        <f>H61*1.96</f>
        <v>22.572841371401701</v>
      </c>
      <c r="J61" s="62">
        <f>AT61</f>
        <v>0.22200504795879539</v>
      </c>
      <c r="K61" s="128">
        <v>7</v>
      </c>
      <c r="L61" s="127">
        <v>10.5</v>
      </c>
      <c r="M61" s="121">
        <v>20</v>
      </c>
      <c r="N61" s="121">
        <v>10.5</v>
      </c>
      <c r="O61" s="121">
        <v>20</v>
      </c>
      <c r="P61" s="33">
        <v>6.78</v>
      </c>
      <c r="Q61" s="33">
        <v>7.62</v>
      </c>
      <c r="R61" s="45">
        <f t="shared" si="83"/>
        <v>0.24093408388797233</v>
      </c>
      <c r="S61" s="45">
        <f t="shared" si="84"/>
        <v>24.447324947472652</v>
      </c>
      <c r="T61" s="45">
        <f t="shared" si="85"/>
        <v>4.9190776521084372</v>
      </c>
      <c r="U61" s="45">
        <f t="shared" si="86"/>
        <v>4.4899888641287298</v>
      </c>
      <c r="V61" s="45">
        <f t="shared" si="87"/>
        <v>0.22086603879751379</v>
      </c>
      <c r="W61" s="45">
        <f t="shared" si="88"/>
        <v>3.9352621216867494E-2</v>
      </c>
      <c r="X61" s="45">
        <f t="shared" si="82"/>
        <v>0.24093631384384023</v>
      </c>
      <c r="Y61" s="45">
        <f t="shared" si="40"/>
        <v>5</v>
      </c>
      <c r="Z61" s="45"/>
      <c r="AA61" s="45">
        <f>(B61*W61)+(0.2*V61)</f>
        <v>0.15436054716673173</v>
      </c>
      <c r="AB61" s="45">
        <f>(C61*W61)+(0.2*V61)</f>
        <v>0.32751208052094871</v>
      </c>
      <c r="AC61" s="45">
        <f t="shared" si="15"/>
        <v>0.2</v>
      </c>
      <c r="AD61" s="45">
        <f t="shared" si="16"/>
        <v>0.42</v>
      </c>
      <c r="AE61" s="45">
        <f t="shared" si="17"/>
        <v>2.5999999999999996</v>
      </c>
      <c r="AF61" s="45">
        <f t="shared" si="18"/>
        <v>3</v>
      </c>
      <c r="AG61" s="45">
        <f t="shared" si="19"/>
        <v>6.78</v>
      </c>
      <c r="AH61" s="45">
        <f t="shared" si="20"/>
        <v>7.62</v>
      </c>
      <c r="AI61" s="46"/>
      <c r="AJ61" s="46">
        <f t="shared" si="21"/>
        <v>2.8</v>
      </c>
      <c r="AK61" s="46">
        <f t="shared" si="22"/>
        <v>7.2</v>
      </c>
      <c r="AL61" s="46">
        <f t="shared" si="23"/>
        <v>1.5018502216015839</v>
      </c>
      <c r="AM61" s="46">
        <f t="shared" si="24"/>
        <v>4.6222187465900006</v>
      </c>
      <c r="AN61" s="46">
        <f t="shared" si="25"/>
        <v>1.1300088367618548</v>
      </c>
      <c r="AO61" s="46">
        <f t="shared" si="26"/>
        <v>1.1554091390016517</v>
      </c>
      <c r="AP61" s="46">
        <f t="shared" si="27"/>
        <v>1.5005699357763074</v>
      </c>
      <c r="AQ61" s="46">
        <f t="shared" si="28"/>
        <v>0.24619058558257206</v>
      </c>
      <c r="AR61" s="46">
        <f t="shared" si="29"/>
        <v>2.4997895148220484</v>
      </c>
      <c r="AS61" s="47">
        <f t="shared" si="30"/>
        <v>2.7217945627808438</v>
      </c>
      <c r="AT61" s="63">
        <f t="shared" si="31"/>
        <v>0.22200504795879539</v>
      </c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</row>
    <row r="62" spans="1:116" x14ac:dyDescent="0.2">
      <c r="A62" s="74" t="s">
        <v>204</v>
      </c>
      <c r="B62" s="84" t="s">
        <v>229</v>
      </c>
      <c r="C62" s="86" t="s">
        <v>230</v>
      </c>
      <c r="D62" s="83"/>
      <c r="E62" s="99" t="s">
        <v>20</v>
      </c>
      <c r="F62" s="11"/>
      <c r="G62" s="36"/>
      <c r="H62" s="36"/>
      <c r="I62" s="37"/>
      <c r="J62" s="62"/>
      <c r="K62" s="128"/>
      <c r="L62" s="127"/>
      <c r="N62" s="121">
        <v>13</v>
      </c>
      <c r="P62" s="33"/>
      <c r="Q62" s="33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>
        <f t="shared" si="15"/>
        <v>0</v>
      </c>
      <c r="AD62" s="45">
        <f t="shared" si="16"/>
        <v>0</v>
      </c>
      <c r="AE62" s="45"/>
      <c r="AF62" s="45"/>
      <c r="AG62" s="45"/>
      <c r="AH62" s="45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7"/>
      <c r="AT62" s="63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</row>
    <row r="63" spans="1:116" x14ac:dyDescent="0.2">
      <c r="A63" s="74" t="s">
        <v>44</v>
      </c>
      <c r="B63" s="88">
        <v>0.93</v>
      </c>
      <c r="C63" s="84">
        <v>3.93</v>
      </c>
      <c r="D63" s="83">
        <v>2.4300000000000002</v>
      </c>
      <c r="E63" s="99" t="s">
        <v>9</v>
      </c>
      <c r="F63" s="13"/>
      <c r="G63" s="36">
        <f>(X63*100)/D63</f>
        <v>5.885446980954752</v>
      </c>
      <c r="H63" s="36">
        <f>G63*2.39</f>
        <v>14.066218284481858</v>
      </c>
      <c r="I63" s="37">
        <f>H63*1.96</f>
        <v>27.569787837584439</v>
      </c>
      <c r="J63" s="62">
        <f>AT63</f>
        <v>0.14652500696604731</v>
      </c>
      <c r="K63" s="128">
        <v>7</v>
      </c>
      <c r="L63" s="127">
        <v>12</v>
      </c>
      <c r="M63" s="121">
        <v>20</v>
      </c>
      <c r="N63" s="121">
        <v>12</v>
      </c>
      <c r="O63" s="121">
        <v>20</v>
      </c>
      <c r="P63" s="33">
        <v>3.6500000000000004</v>
      </c>
      <c r="Q63" s="33">
        <v>4.21</v>
      </c>
      <c r="R63" s="45">
        <f t="shared" si="83"/>
        <v>0.36765564252959315</v>
      </c>
      <c r="S63" s="45">
        <f t="shared" si="84"/>
        <v>38.043677636768066</v>
      </c>
      <c r="T63" s="45">
        <f t="shared" si="85"/>
        <v>6.1476562718460492</v>
      </c>
      <c r="U63" s="45">
        <f t="shared" si="86"/>
        <v>1.9117792759625785</v>
      </c>
      <c r="V63" s="45">
        <f t="shared" si="87"/>
        <v>0.11752961856256645</v>
      </c>
      <c r="W63" s="45">
        <f t="shared" si="88"/>
        <v>4.9181250174768397E-2</v>
      </c>
      <c r="X63" s="45">
        <f t="shared" si="82"/>
        <v>0.1430163616372005</v>
      </c>
      <c r="Y63" s="45">
        <f t="shared" si="40"/>
        <v>2.4300000000000002</v>
      </c>
      <c r="Z63" s="45"/>
      <c r="AA63" s="45">
        <f>(B63*W63)+(0.2*V63)</f>
        <v>6.9244486375047903E-2</v>
      </c>
      <c r="AB63" s="45">
        <f>(C63*W63)+(0.2*V63)</f>
        <v>0.21678823689935309</v>
      </c>
      <c r="AC63" s="45">
        <f t="shared" si="15"/>
        <v>0.09</v>
      </c>
      <c r="AD63" s="45">
        <f t="shared" si="16"/>
        <v>0.28000000000000003</v>
      </c>
      <c r="AE63" s="45">
        <f t="shared" si="17"/>
        <v>0.84000000000000008</v>
      </c>
      <c r="AF63" s="45">
        <f t="shared" si="18"/>
        <v>1.02</v>
      </c>
      <c r="AG63" s="45">
        <f t="shared" si="19"/>
        <v>3.6500000000000004</v>
      </c>
      <c r="AH63" s="45">
        <f t="shared" si="20"/>
        <v>4.21</v>
      </c>
      <c r="AI63" s="46"/>
      <c r="AJ63" s="46">
        <f t="shared" si="21"/>
        <v>0.93</v>
      </c>
      <c r="AK63" s="46">
        <f t="shared" si="22"/>
        <v>3.93</v>
      </c>
      <c r="AL63" s="46">
        <f t="shared" si="23"/>
        <v>0.64803436652316726</v>
      </c>
      <c r="AM63" s="46">
        <f t="shared" si="24"/>
        <v>2.0454538619723381</v>
      </c>
      <c r="AN63" s="46">
        <f t="shared" si="25"/>
        <v>0.77816587345757915</v>
      </c>
      <c r="AO63" s="46">
        <f t="shared" si="26"/>
        <v>0.79119896758649755</v>
      </c>
      <c r="AP63" s="46">
        <f t="shared" si="27"/>
        <v>0.64590361650433437</v>
      </c>
      <c r="AQ63" s="46">
        <f t="shared" si="28"/>
        <v>0.37340617499113959</v>
      </c>
      <c r="AR63" s="46">
        <f t="shared" si="29"/>
        <v>2.4997895148220484</v>
      </c>
      <c r="AS63" s="47">
        <f t="shared" si="30"/>
        <v>2.6463145217880957</v>
      </c>
      <c r="AT63" s="63">
        <f t="shared" si="31"/>
        <v>0.14652500696604731</v>
      </c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</row>
    <row r="64" spans="1:116" s="3" customFormat="1" x14ac:dyDescent="0.2">
      <c r="A64" s="74" t="s">
        <v>205</v>
      </c>
      <c r="B64" s="86" t="s">
        <v>227</v>
      </c>
      <c r="C64" s="96"/>
      <c r="D64" s="83"/>
      <c r="E64" s="99" t="s">
        <v>228</v>
      </c>
      <c r="F64" s="11"/>
      <c r="G64" s="36"/>
      <c r="H64" s="36"/>
      <c r="I64" s="37"/>
      <c r="J64" s="62"/>
      <c r="K64" s="128"/>
      <c r="L64" s="127"/>
      <c r="M64" s="121"/>
      <c r="N64" s="121">
        <v>20</v>
      </c>
      <c r="O64" s="121"/>
      <c r="P64" s="33"/>
      <c r="Q64" s="33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>
        <f t="shared" si="15"/>
        <v>0</v>
      </c>
      <c r="AD64" s="45">
        <f t="shared" si="16"/>
        <v>0</v>
      </c>
      <c r="AE64" s="45"/>
      <c r="AF64" s="45"/>
      <c r="AG64" s="45"/>
      <c r="AH64" s="45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7"/>
      <c r="AT64" s="63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x14ac:dyDescent="0.2">
      <c r="A65" s="74" t="s">
        <v>185</v>
      </c>
      <c r="B65" s="84">
        <v>7</v>
      </c>
      <c r="C65" s="84">
        <v>16</v>
      </c>
      <c r="D65" s="83">
        <v>11.5</v>
      </c>
      <c r="E65" s="102" t="s">
        <v>9</v>
      </c>
      <c r="F65" s="13"/>
      <c r="G65" s="36">
        <f>(X65*100)/D65</f>
        <v>4.5175822044806013</v>
      </c>
      <c r="H65" s="36">
        <f>G65*2.39</f>
        <v>10.797021468708637</v>
      </c>
      <c r="I65" s="37">
        <f>H65*1.96</f>
        <v>21.162162078668928</v>
      </c>
      <c r="J65" s="62">
        <f>AT65</f>
        <v>0.25387003167910427</v>
      </c>
      <c r="K65" s="128">
        <v>6</v>
      </c>
      <c r="L65" s="127">
        <v>10</v>
      </c>
      <c r="M65" s="121">
        <v>18</v>
      </c>
      <c r="N65" s="121">
        <v>10</v>
      </c>
      <c r="O65" s="121">
        <v>18</v>
      </c>
      <c r="P65" s="33">
        <v>15.12</v>
      </c>
      <c r="Q65" s="33">
        <v>16.88</v>
      </c>
      <c r="R65" s="45">
        <f t="shared" si="83"/>
        <v>0.21088739111848673</v>
      </c>
      <c r="S65" s="45">
        <f t="shared" si="84"/>
        <v>21.325398601775923</v>
      </c>
      <c r="T65" s="45">
        <f t="shared" si="85"/>
        <v>4.5907949858141048</v>
      </c>
      <c r="U65" s="45">
        <f t="shared" si="86"/>
        <v>10.583005244258363</v>
      </c>
      <c r="V65" s="45">
        <f t="shared" si="87"/>
        <v>0.4858440741018567</v>
      </c>
      <c r="W65" s="45">
        <f t="shared" si="88"/>
        <v>3.6726359886512842E-2</v>
      </c>
      <c r="X65" s="45">
        <f t="shared" si="82"/>
        <v>0.51952195351526909</v>
      </c>
      <c r="Y65" s="45">
        <f t="shared" si="40"/>
        <v>11.5</v>
      </c>
      <c r="Z65" s="45"/>
      <c r="AA65" s="45">
        <f>(B65*W65)+(0.2*V65)</f>
        <v>0.35425333402596126</v>
      </c>
      <c r="AB65" s="45">
        <f>(C65*W65)+(0.2*V65)</f>
        <v>0.6847905730045768</v>
      </c>
      <c r="AC65" s="45">
        <f t="shared" si="15"/>
        <v>0.45</v>
      </c>
      <c r="AD65" s="45">
        <f t="shared" si="16"/>
        <v>0.88</v>
      </c>
      <c r="AE65" s="45">
        <f t="shared" si="17"/>
        <v>6.55</v>
      </c>
      <c r="AF65" s="45">
        <f t="shared" si="18"/>
        <v>7.45</v>
      </c>
      <c r="AG65" s="45">
        <f t="shared" si="19"/>
        <v>15.12</v>
      </c>
      <c r="AH65" s="45">
        <f t="shared" si="20"/>
        <v>16.88</v>
      </c>
      <c r="AI65" s="46"/>
      <c r="AJ65" s="46">
        <f t="shared" si="21"/>
        <v>7</v>
      </c>
      <c r="AK65" s="46">
        <f t="shared" si="22"/>
        <v>16</v>
      </c>
      <c r="AL65" s="46">
        <f t="shared" si="23"/>
        <v>2.3592494356475471</v>
      </c>
      <c r="AM65" s="46">
        <f t="shared" si="24"/>
        <v>10.820972849327168</v>
      </c>
      <c r="AN65" s="46">
        <f t="shared" si="25"/>
        <v>2.3076155927089679</v>
      </c>
      <c r="AO65" s="46">
        <f t="shared" si="26"/>
        <v>2.3653737091415139</v>
      </c>
      <c r="AP65" s="46">
        <f t="shared" si="27"/>
        <v>2.3581482709274981</v>
      </c>
      <c r="AQ65" s="46">
        <f t="shared" si="28"/>
        <v>0.21604587747249249</v>
      </c>
      <c r="AR65" s="46">
        <f t="shared" si="29"/>
        <v>2.4997895148220373</v>
      </c>
      <c r="AS65" s="47">
        <f t="shared" si="30"/>
        <v>2.7536595465011415</v>
      </c>
      <c r="AT65" s="63">
        <f t="shared" si="31"/>
        <v>0.25387003167910427</v>
      </c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x14ac:dyDescent="0.2">
      <c r="A66" s="74" t="s">
        <v>45</v>
      </c>
      <c r="B66" s="88">
        <v>0.4</v>
      </c>
      <c r="C66" s="84">
        <v>2.2999999999999998</v>
      </c>
      <c r="D66" s="83">
        <v>1.3499999999999999</v>
      </c>
      <c r="E66" s="102" t="s">
        <v>9</v>
      </c>
      <c r="F66" s="13"/>
      <c r="G66" s="36">
        <f>(X66*100)/D66</f>
        <v>6.4372761768014426</v>
      </c>
      <c r="H66" s="36">
        <f>G66*2.39</f>
        <v>15.385090062555449</v>
      </c>
      <c r="I66" s="37">
        <f>H66*1.96</f>
        <v>30.154776522608678</v>
      </c>
      <c r="J66" s="62">
        <f>AT66</f>
        <v>0.12181951882259678</v>
      </c>
      <c r="K66" s="128">
        <v>8</v>
      </c>
      <c r="L66" s="127">
        <v>13</v>
      </c>
      <c r="M66" s="121">
        <v>26</v>
      </c>
      <c r="N66" s="121">
        <v>13</v>
      </c>
      <c r="O66" s="121">
        <v>26</v>
      </c>
      <c r="P66" s="33">
        <v>2.1199999999999997</v>
      </c>
      <c r="Q66" s="33">
        <v>2.48</v>
      </c>
      <c r="R66" s="45">
        <f t="shared" si="83"/>
        <v>0.44622445275746403</v>
      </c>
      <c r="S66" s="45">
        <f t="shared" si="84"/>
        <v>46.938665855956188</v>
      </c>
      <c r="T66" s="45">
        <f t="shared" si="85"/>
        <v>6.8329104967031578</v>
      </c>
      <c r="U66" s="45">
        <f t="shared" si="86"/>
        <v>0.95916630466254382</v>
      </c>
      <c r="V66" s="45">
        <f t="shared" si="87"/>
        <v>6.5538975112126752E-2</v>
      </c>
      <c r="W66" s="45">
        <f t="shared" si="88"/>
        <v>5.4663283973625264E-2</v>
      </c>
      <c r="X66" s="45">
        <f t="shared" si="82"/>
        <v>8.6903228386819464E-2</v>
      </c>
      <c r="Y66" s="45">
        <f t="shared" si="40"/>
        <v>1.3499999999999999</v>
      </c>
      <c r="Z66" s="45"/>
      <c r="AA66" s="45">
        <f>(B66*W66)+(0.2*V66)</f>
        <v>3.4973108611875456E-2</v>
      </c>
      <c r="AB66" s="45">
        <f>(C66*W66)+(0.2*V66)</f>
        <v>0.13883334816176343</v>
      </c>
      <c r="AC66" s="45">
        <f t="shared" si="15"/>
        <v>0.04</v>
      </c>
      <c r="AD66" s="45">
        <f t="shared" si="16"/>
        <v>0.18</v>
      </c>
      <c r="AE66" s="45">
        <f t="shared" si="17"/>
        <v>0.36000000000000004</v>
      </c>
      <c r="AF66" s="45">
        <f t="shared" si="18"/>
        <v>0.44</v>
      </c>
      <c r="AG66" s="45">
        <f t="shared" si="19"/>
        <v>2.1199999999999997</v>
      </c>
      <c r="AH66" s="45">
        <f t="shared" si="20"/>
        <v>2.48</v>
      </c>
      <c r="AI66" s="46"/>
      <c r="AJ66" s="46">
        <f t="shared" si="21"/>
        <v>0.4</v>
      </c>
      <c r="AK66" s="46">
        <f t="shared" si="22"/>
        <v>2.2999999999999998</v>
      </c>
      <c r="AL66" s="46">
        <f t="shared" si="23"/>
        <v>-4.1690804469525555E-2</v>
      </c>
      <c r="AM66" s="46">
        <f t="shared" si="24"/>
        <v>1.0595744090978292</v>
      </c>
      <c r="AN66" s="46">
        <f t="shared" si="25"/>
        <v>0.49735009138165226</v>
      </c>
      <c r="AO66" s="46">
        <f t="shared" si="26"/>
        <v>0.50488541720016988</v>
      </c>
      <c r="AP66" s="46">
        <f t="shared" si="27"/>
        <v>-4.4439391967591384E-2</v>
      </c>
      <c r="AQ66" s="46">
        <f t="shared" si="28"/>
        <v>0.45234216831379986</v>
      </c>
      <c r="AR66" s="46">
        <f t="shared" si="29"/>
        <v>2.4997895148220484</v>
      </c>
      <c r="AS66" s="47">
        <f t="shared" si="30"/>
        <v>2.6216090336446451</v>
      </c>
      <c r="AT66" s="63">
        <f t="shared" si="31"/>
        <v>0.12181951882259678</v>
      </c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x14ac:dyDescent="0.2">
      <c r="A67" s="74" t="s">
        <v>206</v>
      </c>
      <c r="B67" s="86" t="s">
        <v>223</v>
      </c>
      <c r="C67" s="96"/>
      <c r="D67" s="83"/>
      <c r="E67" s="99" t="s">
        <v>224</v>
      </c>
      <c r="F67" s="11"/>
      <c r="G67" s="36"/>
      <c r="H67" s="36"/>
      <c r="I67" s="37"/>
      <c r="J67" s="62"/>
      <c r="K67" s="128"/>
      <c r="L67" s="127"/>
      <c r="N67" s="121">
        <v>18</v>
      </c>
      <c r="P67" s="33"/>
      <c r="Q67" s="33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>
        <f t="shared" si="15"/>
        <v>0</v>
      </c>
      <c r="AD67" s="45">
        <f t="shared" si="16"/>
        <v>0</v>
      </c>
      <c r="AE67" s="45"/>
      <c r="AF67" s="45"/>
      <c r="AG67" s="45"/>
      <c r="AH67" s="45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7"/>
      <c r="AT67" s="63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</row>
    <row r="68" spans="1:116" s="3" customFormat="1" ht="14.1" customHeight="1" x14ac:dyDescent="0.2">
      <c r="A68" s="74" t="s">
        <v>175</v>
      </c>
      <c r="B68" s="87">
        <v>3.6</v>
      </c>
      <c r="C68" s="87">
        <v>4.6500000000000004</v>
      </c>
      <c r="D68" s="83">
        <v>4.125</v>
      </c>
      <c r="E68" s="105" t="s">
        <v>20</v>
      </c>
      <c r="F68" s="20" t="s">
        <v>83</v>
      </c>
      <c r="G68" s="36">
        <f>(X68*100)/D68</f>
        <v>2.5030872464988958</v>
      </c>
      <c r="H68" s="36">
        <f>G68*2.39</f>
        <v>5.9823785191323609</v>
      </c>
      <c r="I68" s="37">
        <f>H68*1.96</f>
        <v>11.725461897499427</v>
      </c>
      <c r="J68" s="62">
        <f>AT68</f>
        <v>0.83482864142671032</v>
      </c>
      <c r="K68" s="128">
        <v>2.5</v>
      </c>
      <c r="L68" s="127">
        <v>4.5</v>
      </c>
      <c r="M68" s="121">
        <v>8</v>
      </c>
      <c r="N68" s="121">
        <v>4.5</v>
      </c>
      <c r="O68" s="121">
        <v>8</v>
      </c>
      <c r="P68" s="33">
        <v>4.5</v>
      </c>
      <c r="Q68" s="33">
        <v>4.8000000000000007</v>
      </c>
      <c r="R68" s="45">
        <f t="shared" si="83"/>
        <v>6.5289126055408347E-2</v>
      </c>
      <c r="S68" s="45">
        <f t="shared" si="84"/>
        <v>6.5358764382210985</v>
      </c>
      <c r="T68" s="45">
        <f t="shared" si="85"/>
        <v>2.5071650201414939</v>
      </c>
      <c r="U68" s="45">
        <f t="shared" si="86"/>
        <v>4.0914545090957573</v>
      </c>
      <c r="V68" s="45">
        <f t="shared" si="87"/>
        <v>0.10257951626705071</v>
      </c>
      <c r="W68" s="45">
        <f t="shared" si="88"/>
        <v>2.0057320161131952E-2</v>
      </c>
      <c r="X68" s="45">
        <f t="shared" si="82"/>
        <v>0.10325234891807944</v>
      </c>
      <c r="Y68" s="45">
        <f t="shared" si="40"/>
        <v>4.125</v>
      </c>
      <c r="Z68" s="45"/>
      <c r="AA68" s="45">
        <f>(B68*W68)+(0.2*V68)</f>
        <v>9.2722255833485173E-2</v>
      </c>
      <c r="AB68" s="45">
        <f>(C68*W68)+(0.2*V68)</f>
        <v>0.11378244200267372</v>
      </c>
      <c r="AC68" s="45">
        <f t="shared" si="15"/>
        <v>0.12</v>
      </c>
      <c r="AD68" s="45">
        <f t="shared" si="16"/>
        <v>0.15</v>
      </c>
      <c r="AE68" s="45">
        <f t="shared" si="17"/>
        <v>3.48</v>
      </c>
      <c r="AF68" s="45">
        <f t="shared" si="18"/>
        <v>3.72</v>
      </c>
      <c r="AG68" s="45">
        <f t="shared" si="19"/>
        <v>4.5</v>
      </c>
      <c r="AH68" s="45">
        <f t="shared" si="20"/>
        <v>4.8000000000000007</v>
      </c>
      <c r="AI68" s="46"/>
      <c r="AJ68" s="46">
        <f t="shared" si="21"/>
        <v>3.6</v>
      </c>
      <c r="AK68" s="46">
        <f t="shared" si="22"/>
        <v>4.6500000000000004</v>
      </c>
      <c r="AL68" s="46">
        <f t="shared" si="23"/>
        <v>1.4089005325306645</v>
      </c>
      <c r="AM68" s="46">
        <f t="shared" si="24"/>
        <v>4.1001840687566045</v>
      </c>
      <c r="AN68" s="46">
        <f t="shared" si="25"/>
        <v>0.26798296447355807</v>
      </c>
      <c r="AO68" s="46">
        <f t="shared" si="26"/>
        <v>0.28718620580581006</v>
      </c>
      <c r="AP68" s="46">
        <f t="shared" si="27"/>
        <v>1.4085849050267798</v>
      </c>
      <c r="AQ68" s="46">
        <f t="shared" si="28"/>
        <v>6.9956593605236927E-2</v>
      </c>
      <c r="AR68" s="46">
        <f t="shared" si="29"/>
        <v>2.4997895148220262</v>
      </c>
      <c r="AS68" s="47">
        <f t="shared" si="30"/>
        <v>3.3346181562487365</v>
      </c>
      <c r="AT68" s="63">
        <f t="shared" si="31"/>
        <v>0.83482864142671032</v>
      </c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</row>
    <row r="69" spans="1:116" ht="12.95" customHeight="1" x14ac:dyDescent="0.2">
      <c r="A69" s="74" t="s">
        <v>47</v>
      </c>
      <c r="B69" s="83">
        <v>0.6</v>
      </c>
      <c r="C69" s="97">
        <v>2.2000000000000002</v>
      </c>
      <c r="D69" s="83">
        <v>1.4000000000000001</v>
      </c>
      <c r="E69" s="106" t="s">
        <v>20</v>
      </c>
      <c r="F69" s="20" t="s">
        <v>89</v>
      </c>
      <c r="G69" s="36">
        <f>(X69*100)/D69</f>
        <v>5.607433416779843</v>
      </c>
      <c r="H69" s="36">
        <f>G69*2.39</f>
        <v>13.401765866103826</v>
      </c>
      <c r="I69" s="37">
        <f>H69*1.96</f>
        <v>26.267461097563498</v>
      </c>
      <c r="J69" s="62">
        <f>AT69</f>
        <v>0.16197399245259092</v>
      </c>
      <c r="K69" s="128">
        <v>6</v>
      </c>
      <c r="L69" s="127">
        <v>11</v>
      </c>
      <c r="M69" s="121">
        <v>18</v>
      </c>
      <c r="N69" s="121">
        <v>11</v>
      </c>
      <c r="O69" s="121">
        <v>18</v>
      </c>
      <c r="P69" s="33">
        <v>2.0500000000000003</v>
      </c>
      <c r="Q69" s="33">
        <v>2.35</v>
      </c>
      <c r="R69" s="45">
        <f t="shared" si="83"/>
        <v>0.33144974084955642</v>
      </c>
      <c r="S69" s="45">
        <f t="shared" si="84"/>
        <v>34.076474144184452</v>
      </c>
      <c r="T69" s="45">
        <f t="shared" si="85"/>
        <v>5.8160531414512064</v>
      </c>
      <c r="U69" s="45">
        <f t="shared" si="86"/>
        <v>1.1489125293076057</v>
      </c>
      <c r="V69" s="45">
        <f t="shared" si="87"/>
        <v>6.6821363253321511E-2</v>
      </c>
      <c r="W69" s="45">
        <f t="shared" si="88"/>
        <v>4.6528425131609652E-2</v>
      </c>
      <c r="X69" s="45">
        <f t="shared" si="82"/>
        <v>7.8504067834917812E-2</v>
      </c>
      <c r="Y69" s="45">
        <f t="shared" si="40"/>
        <v>1.4000000000000001</v>
      </c>
      <c r="Z69" s="45"/>
      <c r="AA69" s="45">
        <f>(B69*W69)+(0.2*V69)</f>
        <v>4.1281327729630099E-2</v>
      </c>
      <c r="AB69" s="45">
        <f>(C69*W69)+(0.2*V69)</f>
        <v>0.11572680794020554</v>
      </c>
      <c r="AC69" s="45">
        <f t="shared" si="15"/>
        <v>0.05</v>
      </c>
      <c r="AD69" s="45">
        <f t="shared" si="16"/>
        <v>0.15</v>
      </c>
      <c r="AE69" s="45">
        <f t="shared" si="17"/>
        <v>0.54999999999999993</v>
      </c>
      <c r="AF69" s="45">
        <f t="shared" si="18"/>
        <v>0.65</v>
      </c>
      <c r="AG69" s="45">
        <f t="shared" si="19"/>
        <v>2.0500000000000003</v>
      </c>
      <c r="AH69" s="45">
        <f t="shared" si="20"/>
        <v>2.35</v>
      </c>
      <c r="AI69" s="46"/>
      <c r="AJ69" s="46">
        <f t="shared" si="21"/>
        <v>0.6</v>
      </c>
      <c r="AK69" s="46">
        <f t="shared" si="22"/>
        <v>2.2000000000000002</v>
      </c>
      <c r="AL69" s="46">
        <f t="shared" si="23"/>
        <v>0.13881586829913978</v>
      </c>
      <c r="AM69" s="46">
        <f t="shared" si="24"/>
        <v>1.2137871328586014</v>
      </c>
      <c r="AN69" s="46">
        <f t="shared" si="25"/>
        <v>0.41361585849399912</v>
      </c>
      <c r="AO69" s="46">
        <f t="shared" si="26"/>
        <v>0.42099996088403296</v>
      </c>
      <c r="AP69" s="46">
        <f t="shared" si="27"/>
        <v>0.13694542062963388</v>
      </c>
      <c r="AQ69" s="46">
        <f t="shared" si="28"/>
        <v>0.33704573287352263</v>
      </c>
      <c r="AR69" s="46">
        <f t="shared" si="29"/>
        <v>2.4997895148220484</v>
      </c>
      <c r="AS69" s="47">
        <f t="shared" si="30"/>
        <v>2.6617635072746393</v>
      </c>
      <c r="AT69" s="63">
        <f t="shared" si="31"/>
        <v>0.16197399245259092</v>
      </c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</row>
    <row r="70" spans="1:116" x14ac:dyDescent="0.2">
      <c r="A70" s="74" t="s">
        <v>158</v>
      </c>
      <c r="B70" s="83">
        <v>105</v>
      </c>
      <c r="C70" s="83">
        <v>205</v>
      </c>
      <c r="D70" s="83">
        <v>155</v>
      </c>
      <c r="E70" s="107" t="s">
        <v>11</v>
      </c>
      <c r="F70" s="13"/>
      <c r="G70" s="36">
        <f>(X70*100)/D70</f>
        <v>4.0721363844502472</v>
      </c>
      <c r="H70" s="36">
        <f>G70*2.39</f>
        <v>9.7324059588360914</v>
      </c>
      <c r="I70" s="37">
        <f>H70*1.96</f>
        <v>19.075515679318737</v>
      </c>
      <c r="J70" s="62">
        <f>AT70</f>
        <v>0.31470101578315868</v>
      </c>
      <c r="K70" s="128">
        <v>5</v>
      </c>
      <c r="L70" s="127">
        <v>9</v>
      </c>
      <c r="M70" s="121">
        <v>18</v>
      </c>
      <c r="N70" s="121">
        <v>9</v>
      </c>
      <c r="O70" s="121">
        <v>18</v>
      </c>
      <c r="P70" s="33">
        <v>194.81</v>
      </c>
      <c r="Q70" s="33">
        <v>215.19</v>
      </c>
      <c r="R70" s="45">
        <f t="shared" si="83"/>
        <v>0.17067592576042995</v>
      </c>
      <c r="S70" s="45">
        <f t="shared" si="84"/>
        <v>17.192646112429756</v>
      </c>
      <c r="T70" s="45">
        <f t="shared" si="85"/>
        <v>4.1161445689418823</v>
      </c>
      <c r="U70" s="45">
        <f t="shared" si="86"/>
        <v>146.71400751121209</v>
      </c>
      <c r="V70" s="45">
        <f t="shared" si="87"/>
        <v>6.0389606520497425</v>
      </c>
      <c r="W70" s="45">
        <f t="shared" si="88"/>
        <v>3.2929156551535069E-2</v>
      </c>
      <c r="X70" s="45">
        <f t="shared" si="82"/>
        <v>6.3118113958978839</v>
      </c>
      <c r="Y70" s="45">
        <f t="shared" si="40"/>
        <v>155</v>
      </c>
      <c r="Z70" s="45"/>
      <c r="AA70" s="45">
        <f>(B70*W70)+(0.2*V70)</f>
        <v>4.6653535683211302</v>
      </c>
      <c r="AB70" s="45">
        <f>(C70*W70)+(0.2*V70)</f>
        <v>7.9582692234746375</v>
      </c>
      <c r="AC70" s="45">
        <f t="shared" si="15"/>
        <v>5.97</v>
      </c>
      <c r="AD70" s="45">
        <f t="shared" si="16"/>
        <v>10.19</v>
      </c>
      <c r="AE70" s="45">
        <f t="shared" si="17"/>
        <v>99.03</v>
      </c>
      <c r="AF70" s="45">
        <f t="shared" si="18"/>
        <v>110.97</v>
      </c>
      <c r="AG70" s="45">
        <f t="shared" si="19"/>
        <v>194.81</v>
      </c>
      <c r="AH70" s="45">
        <f t="shared" si="20"/>
        <v>215.19</v>
      </c>
      <c r="AI70" s="46"/>
      <c r="AJ70" s="46">
        <f t="shared" si="21"/>
        <v>105</v>
      </c>
      <c r="AK70" s="46">
        <f t="shared" si="22"/>
        <v>205</v>
      </c>
      <c r="AL70" s="46">
        <f t="shared" si="23"/>
        <v>4.9884851646479653</v>
      </c>
      <c r="AM70" s="46">
        <f t="shared" si="24"/>
        <v>148.86655497608399</v>
      </c>
      <c r="AN70" s="46">
        <f t="shared" si="25"/>
        <v>25.594099976803811</v>
      </c>
      <c r="AO70" s="46">
        <f t="shared" si="26"/>
        <v>26.36089749458495</v>
      </c>
      <c r="AP70" s="46">
        <f t="shared" si="27"/>
        <v>4.9876128889790161</v>
      </c>
      <c r="AQ70" s="46">
        <f t="shared" si="28"/>
        <v>0.17571233016518661</v>
      </c>
      <c r="AR70" s="46">
        <f t="shared" si="29"/>
        <v>2.4997895148220262</v>
      </c>
      <c r="AS70" s="47">
        <f t="shared" si="30"/>
        <v>2.8144905306051848</v>
      </c>
      <c r="AT70" s="63">
        <f t="shared" si="31"/>
        <v>0.31470101578315868</v>
      </c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</row>
    <row r="71" spans="1:116" s="3" customFormat="1" ht="14.1" customHeight="1" x14ac:dyDescent="0.2">
      <c r="A71" s="74" t="s">
        <v>211</v>
      </c>
      <c r="B71" s="84" t="s">
        <v>227</v>
      </c>
      <c r="C71" s="86" t="s">
        <v>236</v>
      </c>
      <c r="D71" s="83"/>
      <c r="E71" s="99" t="s">
        <v>38</v>
      </c>
      <c r="F71" s="11"/>
      <c r="G71" s="36"/>
      <c r="H71" s="36"/>
      <c r="I71" s="37"/>
      <c r="J71" s="62"/>
      <c r="K71" s="128"/>
      <c r="L71" s="127"/>
      <c r="M71" s="121"/>
      <c r="N71" s="121">
        <v>9</v>
      </c>
      <c r="O71" s="121"/>
      <c r="P71" s="33"/>
      <c r="Q71" s="33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>
        <f t="shared" si="15"/>
        <v>0</v>
      </c>
      <c r="AD71" s="45">
        <f t="shared" si="16"/>
        <v>0</v>
      </c>
      <c r="AE71" s="45"/>
      <c r="AF71" s="45"/>
      <c r="AG71" s="45"/>
      <c r="AH71" s="45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7"/>
      <c r="AT71" s="63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</row>
    <row r="72" spans="1:116" ht="14.1" customHeight="1" x14ac:dyDescent="0.2">
      <c r="A72" s="74" t="s">
        <v>159</v>
      </c>
      <c r="B72" s="83">
        <v>4.5</v>
      </c>
      <c r="C72" s="97">
        <v>10</v>
      </c>
      <c r="D72" s="83">
        <v>7.25</v>
      </c>
      <c r="E72" s="107" t="s">
        <v>255</v>
      </c>
      <c r="F72" s="20"/>
      <c r="G72" s="36">
        <f>(X72*100)/D72</f>
        <v>4.441844080773012</v>
      </c>
      <c r="H72" s="36">
        <f>G72*2.39</f>
        <v>10.616007353047499</v>
      </c>
      <c r="I72" s="37">
        <f>H72*1.96</f>
        <v>20.807374411973097</v>
      </c>
      <c r="J72" s="62">
        <f>AT72</f>
        <v>0.26293359444921061</v>
      </c>
      <c r="K72" s="128">
        <v>4</v>
      </c>
      <c r="L72" s="127">
        <v>6.5</v>
      </c>
      <c r="M72" s="121">
        <v>18</v>
      </c>
      <c r="N72" s="121">
        <v>6.5</v>
      </c>
      <c r="O72" s="121">
        <v>18</v>
      </c>
      <c r="P72" s="33">
        <v>9.4600000000000009</v>
      </c>
      <c r="Q72" s="33">
        <v>10.54</v>
      </c>
      <c r="R72" s="45">
        <f t="shared" si="83"/>
        <v>0.20370094291269689</v>
      </c>
      <c r="S72" s="45">
        <f t="shared" si="84"/>
        <v>20.583241949707855</v>
      </c>
      <c r="T72" s="45">
        <f t="shared" si="85"/>
        <v>4.5092396199035436</v>
      </c>
      <c r="U72" s="45">
        <f t="shared" si="86"/>
        <v>6.7082039324993694</v>
      </c>
      <c r="V72" s="45">
        <f t="shared" si="87"/>
        <v>0.30248898950818914</v>
      </c>
      <c r="W72" s="45">
        <f t="shared" si="88"/>
        <v>3.6073916959228347E-2</v>
      </c>
      <c r="X72" s="45">
        <f t="shared" si="82"/>
        <v>0.32203369585604336</v>
      </c>
      <c r="Y72" s="45">
        <f t="shared" si="40"/>
        <v>7.25</v>
      </c>
      <c r="Z72" s="45"/>
      <c r="AA72" s="45">
        <f>(B72*W72)+(0.2*V72)</f>
        <v>0.2228304242181654</v>
      </c>
      <c r="AB72" s="45">
        <f>(C72*W72)+(0.2*V72)</f>
        <v>0.42123696749392131</v>
      </c>
      <c r="AC72" s="45">
        <f t="shared" si="15"/>
        <v>0.28999999999999998</v>
      </c>
      <c r="AD72" s="45">
        <f t="shared" si="16"/>
        <v>0.54</v>
      </c>
      <c r="AE72" s="45">
        <f t="shared" si="17"/>
        <v>4.21</v>
      </c>
      <c r="AF72" s="45">
        <f t="shared" si="18"/>
        <v>4.79</v>
      </c>
      <c r="AG72" s="45">
        <f t="shared" si="19"/>
        <v>9.4600000000000009</v>
      </c>
      <c r="AH72" s="45">
        <f t="shared" si="20"/>
        <v>10.54</v>
      </c>
      <c r="AI72" s="46"/>
      <c r="AJ72" s="46">
        <f t="shared" si="21"/>
        <v>4.5</v>
      </c>
      <c r="AK72" s="46">
        <f t="shared" si="22"/>
        <v>10</v>
      </c>
      <c r="AL72" s="46">
        <f t="shared" si="23"/>
        <v>1.90333124488516</v>
      </c>
      <c r="AM72" s="46">
        <f t="shared" si="24"/>
        <v>6.8488330627356495</v>
      </c>
      <c r="AN72" s="46">
        <f t="shared" si="25"/>
        <v>1.4097118800344655</v>
      </c>
      <c r="AO72" s="46">
        <f t="shared" si="26"/>
        <v>1.4460267238114963</v>
      </c>
      <c r="AP72" s="46">
        <f t="shared" si="27"/>
        <v>1.902271848084979</v>
      </c>
      <c r="AQ72" s="46">
        <f t="shared" si="28"/>
        <v>0.20883694056340693</v>
      </c>
      <c r="AR72" s="46">
        <f t="shared" si="29"/>
        <v>2.4997895148220484</v>
      </c>
      <c r="AS72" s="47">
        <f t="shared" si="30"/>
        <v>2.762723109271259</v>
      </c>
      <c r="AT72" s="63">
        <f t="shared" si="31"/>
        <v>0.26293359444921061</v>
      </c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</row>
    <row r="73" spans="1:116" x14ac:dyDescent="0.2">
      <c r="A73" s="74" t="s">
        <v>207</v>
      </c>
      <c r="B73" s="83">
        <v>0.6</v>
      </c>
      <c r="C73" s="89">
        <v>19</v>
      </c>
      <c r="D73" s="83">
        <v>9.8000000000000007</v>
      </c>
      <c r="E73" s="99" t="s">
        <v>43</v>
      </c>
      <c r="F73" s="11"/>
      <c r="G73" s="36"/>
      <c r="H73" s="36"/>
      <c r="I73" s="37"/>
      <c r="J73" s="62"/>
      <c r="K73" s="128"/>
      <c r="L73" s="127"/>
      <c r="N73" s="121">
        <v>15</v>
      </c>
      <c r="P73" s="33"/>
      <c r="Q73" s="33"/>
      <c r="R73" s="45">
        <f t="shared" si="83"/>
        <v>0.88144505176847721</v>
      </c>
      <c r="S73" s="45">
        <f t="shared" si="84"/>
        <v>108.38906135384553</v>
      </c>
      <c r="T73" s="45">
        <f t="shared" si="85"/>
        <v>10.39899328559479</v>
      </c>
      <c r="U73" s="45">
        <f t="shared" si="86"/>
        <v>3.3763886032268267</v>
      </c>
      <c r="V73" s="45">
        <f t="shared" si="87"/>
        <v>0.35111042414514543</v>
      </c>
      <c r="W73" s="45">
        <f t="shared" si="88"/>
        <v>8.3191946284758317E-2</v>
      </c>
      <c r="X73" s="45">
        <f t="shared" si="82"/>
        <v>0.88550315841966065</v>
      </c>
      <c r="Y73" s="45">
        <f t="shared" si="40"/>
        <v>9.8000000000000007</v>
      </c>
      <c r="Z73" s="45"/>
      <c r="AA73" s="45"/>
      <c r="AB73" s="45"/>
      <c r="AC73" s="45">
        <f t="shared" ref="AC73:AD131" si="89">ROUND(1.28*AA73,2)</f>
        <v>0</v>
      </c>
      <c r="AD73" s="45">
        <f t="shared" si="89"/>
        <v>0</v>
      </c>
      <c r="AE73" s="45">
        <f t="shared" ref="AE73:AE131" si="90">B73-AC73</f>
        <v>0.6</v>
      </c>
      <c r="AF73" s="45">
        <f t="shared" ref="AF73:AF131" si="91">B73+AC73</f>
        <v>0.6</v>
      </c>
      <c r="AG73" s="45">
        <f t="shared" ref="AG73:AG131" si="92">C73-AD73</f>
        <v>19</v>
      </c>
      <c r="AH73" s="45">
        <f t="shared" ref="AH73:AH131" si="93">C73+AD73</f>
        <v>19</v>
      </c>
      <c r="AI73" s="46"/>
      <c r="AJ73" s="46">
        <f t="shared" ref="AJ73:AJ131" si="94">B73+AI73</f>
        <v>0.6</v>
      </c>
      <c r="AK73" s="46">
        <f t="shared" ref="AK73:AK131" si="95">C73+AI73</f>
        <v>19</v>
      </c>
      <c r="AL73" s="46">
        <f t="shared" ref="AL73:AL131" si="96">(LN(C73)+LN(B73))/2</f>
        <v>1.2168066777002249</v>
      </c>
      <c r="AM73" s="46">
        <f t="shared" ref="AM73:AM131" si="97">EXP(AL73+0.5*R73^2)</f>
        <v>4.9792504484240574</v>
      </c>
      <c r="AN73" s="46">
        <f t="shared" ref="AN73:AN131" si="98">AM73*SQRT(EXP(R73^2)-1)</f>
        <v>5.3969628235039808</v>
      </c>
      <c r="AO73" s="46">
        <f t="shared" ref="AO73:AO131" si="99">SQRT(AN73^2+X73^2)</f>
        <v>5.4691245699705231</v>
      </c>
      <c r="AP73" s="46">
        <f t="shared" ref="AP73:AP131" si="100">LN(AM73)-0.5*AQ73^2</f>
        <v>1.2095879547065058</v>
      </c>
      <c r="AQ73" s="46">
        <f t="shared" ref="AQ73:AQ131" si="101">SQRT(LN(1+AO73^2/AM73^2))</f>
        <v>0.88959700161060107</v>
      </c>
      <c r="AR73" s="46">
        <f t="shared" ref="AR73:AR131" si="102">100*(1-LOGNORMDIST(AK73,AL73,R73))</f>
        <v>2.4997895148220484</v>
      </c>
      <c r="AS73" s="47">
        <f t="shared" ref="AS73:AS131" si="103">100*(1-LOGNORMDIST(C73,AP73,AQ73))</f>
        <v>2.557889179456263</v>
      </c>
      <c r="AT73" s="63">
        <f t="shared" ref="AT73:AT131" si="104">AS73-AR73</f>
        <v>5.8099664634214676E-2</v>
      </c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</row>
    <row r="74" spans="1:116" x14ac:dyDescent="0.2">
      <c r="A74" s="74" t="s">
        <v>256</v>
      </c>
      <c r="B74" s="83">
        <v>13</v>
      </c>
      <c r="C74" s="97">
        <v>59</v>
      </c>
      <c r="D74" s="83">
        <v>36</v>
      </c>
      <c r="E74" s="107" t="s">
        <v>11</v>
      </c>
      <c r="F74" s="20" t="s">
        <v>48</v>
      </c>
      <c r="G74" s="36">
        <f>(X74*100)/D74</f>
        <v>6.019020918943248</v>
      </c>
      <c r="H74" s="36">
        <f>G74*2.39</f>
        <v>14.385459996274363</v>
      </c>
      <c r="I74" s="37">
        <f>H74*1.96</f>
        <v>28.195501592697752</v>
      </c>
      <c r="J74" s="62">
        <f>AT74</f>
        <v>0.13988657653097869</v>
      </c>
      <c r="K74" s="128"/>
      <c r="L74" s="135">
        <v>12</v>
      </c>
      <c r="M74" s="136">
        <v>25</v>
      </c>
      <c r="N74" s="121">
        <v>11</v>
      </c>
      <c r="P74" s="33">
        <v>54.74</v>
      </c>
      <c r="Q74" s="33">
        <v>63.26</v>
      </c>
      <c r="R74" s="45">
        <f t="shared" si="83"/>
        <v>0.3858643077663732</v>
      </c>
      <c r="S74" s="45">
        <f t="shared" si="84"/>
        <v>40.06829034805596</v>
      </c>
      <c r="T74" s="45">
        <f t="shared" si="85"/>
        <v>6.3101735592657002</v>
      </c>
      <c r="U74" s="45">
        <f t="shared" si="86"/>
        <v>27.694764848252458</v>
      </c>
      <c r="V74" s="45">
        <f t="shared" si="87"/>
        <v>1.7475877287552382</v>
      </c>
      <c r="W74" s="45">
        <f t="shared" si="88"/>
        <v>5.0481388474125609E-2</v>
      </c>
      <c r="X74" s="45">
        <f t="shared" si="82"/>
        <v>2.1668475308195694</v>
      </c>
      <c r="Y74" s="45">
        <f t="shared" si="40"/>
        <v>36</v>
      </c>
      <c r="Z74" s="45"/>
      <c r="AA74" s="45">
        <f>(B74*W74)+(0.2*V74)</f>
        <v>1.0057755959146806</v>
      </c>
      <c r="AB74" s="45">
        <f>(C74*W74)+(0.2*V74)</f>
        <v>3.3279194657244586</v>
      </c>
      <c r="AC74" s="45">
        <f t="shared" si="89"/>
        <v>1.29</v>
      </c>
      <c r="AD74" s="45">
        <f t="shared" si="89"/>
        <v>4.26</v>
      </c>
      <c r="AE74" s="45">
        <f t="shared" si="90"/>
        <v>11.71</v>
      </c>
      <c r="AF74" s="45">
        <f t="shared" si="91"/>
        <v>14.29</v>
      </c>
      <c r="AG74" s="45">
        <f t="shared" si="92"/>
        <v>54.74</v>
      </c>
      <c r="AH74" s="45">
        <f t="shared" si="93"/>
        <v>63.26</v>
      </c>
      <c r="AI74" s="46"/>
      <c r="AJ74" s="46">
        <f t="shared" si="94"/>
        <v>13</v>
      </c>
      <c r="AK74" s="46">
        <f t="shared" si="95"/>
        <v>59</v>
      </c>
      <c r="AL74" s="46">
        <f t="shared" si="96"/>
        <v>3.3212434006836284</v>
      </c>
      <c r="AM74" s="46">
        <f t="shared" si="97"/>
        <v>29.835203824871325</v>
      </c>
      <c r="AN74" s="46">
        <f t="shared" si="98"/>
        <v>11.95445609448374</v>
      </c>
      <c r="AO74" s="46">
        <f t="shared" si="99"/>
        <v>12.149248895991814</v>
      </c>
      <c r="AP74" s="46">
        <f t="shared" si="100"/>
        <v>3.3189760381631688</v>
      </c>
      <c r="AQ74" s="46">
        <f t="shared" si="101"/>
        <v>0.39169629695587133</v>
      </c>
      <c r="AR74" s="46">
        <f t="shared" si="102"/>
        <v>2.4997895148220484</v>
      </c>
      <c r="AS74" s="47">
        <f t="shared" si="103"/>
        <v>2.6396760913530271</v>
      </c>
      <c r="AT74" s="63">
        <f t="shared" si="104"/>
        <v>0.13988657653097869</v>
      </c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</row>
    <row r="75" spans="1:116" ht="14.1" customHeight="1" x14ac:dyDescent="0.2">
      <c r="A75" s="74" t="s">
        <v>208</v>
      </c>
      <c r="B75" s="83">
        <v>0.6</v>
      </c>
      <c r="C75" s="89">
        <v>1.2</v>
      </c>
      <c r="D75" s="83">
        <v>0.9</v>
      </c>
      <c r="E75" s="99" t="s">
        <v>20</v>
      </c>
      <c r="F75" s="11"/>
      <c r="G75" s="36"/>
      <c r="H75" s="36"/>
      <c r="I75" s="37"/>
      <c r="J75" s="62"/>
      <c r="K75" s="128">
        <v>4</v>
      </c>
      <c r="L75" s="127">
        <v>6</v>
      </c>
      <c r="M75" s="121">
        <v>12</v>
      </c>
      <c r="N75" s="121">
        <v>6</v>
      </c>
      <c r="O75" s="121">
        <v>12</v>
      </c>
      <c r="P75" s="33"/>
      <c r="Q75" s="33"/>
      <c r="R75" s="45">
        <f t="shared" si="83"/>
        <v>0.17682326034692483</v>
      </c>
      <c r="S75" s="45">
        <f t="shared" si="84"/>
        <v>17.821446548069598</v>
      </c>
      <c r="T75" s="45">
        <f t="shared" si="85"/>
        <v>4.1918309302820882</v>
      </c>
      <c r="U75" s="45">
        <f t="shared" si="86"/>
        <v>0.84852813742385702</v>
      </c>
      <c r="V75" s="45">
        <f t="shared" si="87"/>
        <v>3.5568864916679745E-2</v>
      </c>
      <c r="W75" s="45">
        <f t="shared" si="88"/>
        <v>3.3534647442256711E-2</v>
      </c>
      <c r="X75" s="45">
        <f t="shared" si="82"/>
        <v>3.7294955681366988E-2</v>
      </c>
      <c r="Y75" s="45">
        <f t="shared" si="40"/>
        <v>0.89999999999999991</v>
      </c>
      <c r="Z75" s="45"/>
      <c r="AA75" s="45"/>
      <c r="AB75" s="45"/>
      <c r="AC75" s="45">
        <f t="shared" si="89"/>
        <v>0</v>
      </c>
      <c r="AD75" s="45">
        <f t="shared" si="89"/>
        <v>0</v>
      </c>
      <c r="AE75" s="45">
        <f t="shared" si="90"/>
        <v>0.6</v>
      </c>
      <c r="AF75" s="45">
        <f t="shared" si="91"/>
        <v>0.6</v>
      </c>
      <c r="AG75" s="45">
        <f t="shared" si="92"/>
        <v>1.2</v>
      </c>
      <c r="AH75" s="45">
        <f t="shared" si="93"/>
        <v>1.2</v>
      </c>
      <c r="AI75" s="46"/>
      <c r="AJ75" s="46">
        <f t="shared" si="94"/>
        <v>0.6</v>
      </c>
      <c r="AK75" s="46">
        <f t="shared" si="95"/>
        <v>1.2</v>
      </c>
      <c r="AL75" s="46">
        <f t="shared" si="96"/>
        <v>-0.16425203348601808</v>
      </c>
      <c r="AM75" s="46">
        <f t="shared" si="97"/>
        <v>0.8618976069747093</v>
      </c>
      <c r="AN75" s="46">
        <f t="shared" si="98"/>
        <v>0.15360262132608882</v>
      </c>
      <c r="AO75" s="46">
        <f t="shared" si="99"/>
        <v>0.1580654263193598</v>
      </c>
      <c r="AP75" s="46">
        <f t="shared" si="100"/>
        <v>-0.16515857193345795</v>
      </c>
      <c r="AQ75" s="46">
        <f t="shared" si="101"/>
        <v>0.18187782243747033</v>
      </c>
      <c r="AR75" s="46">
        <f t="shared" si="102"/>
        <v>2.4997895148220373</v>
      </c>
      <c r="AS75" s="47">
        <f t="shared" si="103"/>
        <v>2.8033531834854131</v>
      </c>
      <c r="AT75" s="63">
        <f t="shared" si="104"/>
        <v>0.30356366866337581</v>
      </c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</row>
    <row r="76" spans="1:116" ht="14.1" customHeight="1" x14ac:dyDescent="0.2">
      <c r="A76" s="74" t="s">
        <v>49</v>
      </c>
      <c r="B76" s="83">
        <v>0.77</v>
      </c>
      <c r="C76" s="87">
        <v>1.03</v>
      </c>
      <c r="D76" s="83">
        <v>0.9</v>
      </c>
      <c r="E76" s="107" t="s">
        <v>20</v>
      </c>
      <c r="F76" s="17" t="s">
        <v>83</v>
      </c>
      <c r="G76" s="36">
        <f>(X76*100)/D76</f>
        <v>2.6742580012963511</v>
      </c>
      <c r="H76" s="36">
        <f>G76*2.39</f>
        <v>6.3914766230982796</v>
      </c>
      <c r="I76" s="37">
        <f>H76*1.96</f>
        <v>12.527294181272628</v>
      </c>
      <c r="J76" s="62">
        <f>AT76</f>
        <v>0.73407471368385213</v>
      </c>
      <c r="K76" s="128">
        <v>5</v>
      </c>
      <c r="L76" s="127">
        <v>7.5</v>
      </c>
      <c r="M76" s="121">
        <v>15</v>
      </c>
      <c r="N76" s="121">
        <v>7.5</v>
      </c>
      <c r="O76" s="121">
        <v>15</v>
      </c>
      <c r="P76" s="33">
        <v>1</v>
      </c>
      <c r="Q76" s="33">
        <v>1.06</v>
      </c>
      <c r="R76" s="45">
        <f t="shared" si="83"/>
        <v>7.4215195504069381E-2</v>
      </c>
      <c r="S76" s="45">
        <f t="shared" si="84"/>
        <v>7.4317505245118225</v>
      </c>
      <c r="T76" s="45">
        <f t="shared" si="85"/>
        <v>2.6798788264605964</v>
      </c>
      <c r="U76" s="45">
        <f t="shared" si="86"/>
        <v>0.89056162055188526</v>
      </c>
      <c r="V76" s="45">
        <f t="shared" si="87"/>
        <v>2.3865972305754331E-2</v>
      </c>
      <c r="W76" s="45">
        <f t="shared" si="88"/>
        <v>2.143903061168477E-2</v>
      </c>
      <c r="X76" s="45">
        <f t="shared" si="82"/>
        <v>2.406832201166716E-2</v>
      </c>
      <c r="Y76" s="45">
        <f t="shared" si="40"/>
        <v>0.9</v>
      </c>
      <c r="Z76" s="45"/>
      <c r="AA76" s="45">
        <f>(B76*W76)+(0.2*V76)</f>
        <v>2.1281248032148137E-2</v>
      </c>
      <c r="AB76" s="45">
        <f>(C76*W76)+(0.2*V76)</f>
        <v>2.6855395991186179E-2</v>
      </c>
      <c r="AC76" s="45">
        <f t="shared" si="89"/>
        <v>0.03</v>
      </c>
      <c r="AD76" s="45">
        <f t="shared" si="89"/>
        <v>0.03</v>
      </c>
      <c r="AE76" s="45">
        <f t="shared" si="90"/>
        <v>0.74</v>
      </c>
      <c r="AF76" s="45">
        <f t="shared" si="91"/>
        <v>0.8</v>
      </c>
      <c r="AG76" s="45">
        <f t="shared" si="92"/>
        <v>1</v>
      </c>
      <c r="AH76" s="45">
        <f t="shared" si="93"/>
        <v>1.06</v>
      </c>
      <c r="AI76" s="46"/>
      <c r="AJ76" s="46">
        <f t="shared" si="94"/>
        <v>0.77</v>
      </c>
      <c r="AK76" s="46">
        <f t="shared" si="95"/>
        <v>1.03</v>
      </c>
      <c r="AL76" s="46">
        <f t="shared" si="96"/>
        <v>-0.11590298094643155</v>
      </c>
      <c r="AM76" s="46">
        <f t="shared" si="97"/>
        <v>0.89301756082215089</v>
      </c>
      <c r="AN76" s="46">
        <f t="shared" si="98"/>
        <v>6.636683726038288E-2</v>
      </c>
      <c r="AO76" s="46">
        <f t="shared" si="99"/>
        <v>7.0596325771271173E-2</v>
      </c>
      <c r="AP76" s="46">
        <f t="shared" si="100"/>
        <v>-0.11626405207501636</v>
      </c>
      <c r="AQ76" s="46">
        <f t="shared" si="101"/>
        <v>7.893058659909187E-2</v>
      </c>
      <c r="AR76" s="46">
        <f t="shared" si="102"/>
        <v>2.4997895148220484</v>
      </c>
      <c r="AS76" s="47">
        <f t="shared" si="103"/>
        <v>3.2338642285059005</v>
      </c>
      <c r="AT76" s="63">
        <f t="shared" si="104"/>
        <v>0.73407471368385213</v>
      </c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</row>
    <row r="77" spans="1:116" ht="14.1" customHeight="1" x14ac:dyDescent="0.2">
      <c r="A77" s="74" t="s">
        <v>209</v>
      </c>
      <c r="B77" s="84" t="s">
        <v>234</v>
      </c>
      <c r="C77" s="86"/>
      <c r="D77" s="83"/>
      <c r="E77" s="99" t="s">
        <v>18</v>
      </c>
      <c r="F77" s="11"/>
      <c r="G77" s="36"/>
      <c r="H77" s="36"/>
      <c r="I77" s="37"/>
      <c r="J77" s="62"/>
      <c r="K77" s="128"/>
      <c r="L77" s="127"/>
      <c r="N77" s="121">
        <v>25</v>
      </c>
      <c r="P77" s="33"/>
      <c r="Q77" s="33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>
        <f t="shared" si="89"/>
        <v>0</v>
      </c>
      <c r="AD77" s="45">
        <f t="shared" si="89"/>
        <v>0</v>
      </c>
      <c r="AE77" s="45"/>
      <c r="AF77" s="45"/>
      <c r="AG77" s="45"/>
      <c r="AH77" s="45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7"/>
      <c r="AT77" s="63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</row>
    <row r="78" spans="1:116" ht="14.1" customHeight="1" x14ac:dyDescent="0.2">
      <c r="A78" s="74" t="s">
        <v>174</v>
      </c>
      <c r="B78" s="83">
        <v>135</v>
      </c>
      <c r="C78" s="95">
        <v>145</v>
      </c>
      <c r="D78" s="83">
        <v>140</v>
      </c>
      <c r="E78" s="104" t="s">
        <v>20</v>
      </c>
      <c r="F78" s="16"/>
      <c r="G78" s="36">
        <f>(X78*100)/D78</f>
        <v>1.2540665092654146</v>
      </c>
      <c r="H78" s="36">
        <f>G78*2.39</f>
        <v>2.9972189571443413</v>
      </c>
      <c r="I78" s="37">
        <f>H78*1.96</f>
        <v>5.8745491560029084</v>
      </c>
      <c r="J78" s="62">
        <f>AT78</f>
        <v>2.7810956211231419</v>
      </c>
      <c r="K78" s="127">
        <v>1.8</v>
      </c>
      <c r="L78" s="127">
        <v>3</v>
      </c>
      <c r="M78" s="121">
        <v>5</v>
      </c>
      <c r="N78" s="121">
        <v>3</v>
      </c>
      <c r="O78" s="121">
        <v>5</v>
      </c>
      <c r="P78" s="33">
        <v>142.69</v>
      </c>
      <c r="Q78" s="33">
        <v>147.31</v>
      </c>
      <c r="R78" s="45">
        <f t="shared" si="83"/>
        <v>1.8229327546465453E-2</v>
      </c>
      <c r="S78" s="45">
        <f t="shared" si="84"/>
        <v>1.8230842090902792</v>
      </c>
      <c r="T78" s="45">
        <f t="shared" si="85"/>
        <v>1.2542265381860962</v>
      </c>
      <c r="U78" s="45">
        <f t="shared" si="86"/>
        <v>139.91068579633222</v>
      </c>
      <c r="V78" s="45">
        <f t="shared" si="87"/>
        <v>1.7547969510157637</v>
      </c>
      <c r="W78" s="45">
        <f t="shared" si="88"/>
        <v>1.0033812305488769E-2</v>
      </c>
      <c r="X78" s="45">
        <f t="shared" si="82"/>
        <v>1.7556931129715805</v>
      </c>
      <c r="Y78" s="45">
        <f t="shared" si="40"/>
        <v>140</v>
      </c>
      <c r="Z78" s="45"/>
      <c r="AA78" s="45">
        <f>(B78*W78)+(0.2*V78)</f>
        <v>1.7055240514441365</v>
      </c>
      <c r="AB78" s="45">
        <f>(C78*W78)+(0.2*V78)</f>
        <v>1.8058621744990242</v>
      </c>
      <c r="AC78" s="45">
        <f t="shared" si="89"/>
        <v>2.1800000000000002</v>
      </c>
      <c r="AD78" s="45">
        <f t="shared" si="89"/>
        <v>2.31</v>
      </c>
      <c r="AE78" s="45">
        <f t="shared" si="90"/>
        <v>132.82</v>
      </c>
      <c r="AF78" s="45">
        <f t="shared" si="91"/>
        <v>137.18</v>
      </c>
      <c r="AG78" s="45">
        <f t="shared" si="92"/>
        <v>142.69</v>
      </c>
      <c r="AH78" s="45">
        <f t="shared" si="93"/>
        <v>147.31</v>
      </c>
      <c r="AI78" s="46"/>
      <c r="AJ78" s="46">
        <f t="shared" si="94"/>
        <v>135</v>
      </c>
      <c r="AK78" s="46">
        <f t="shared" si="95"/>
        <v>145</v>
      </c>
      <c r="AL78" s="46">
        <f t="shared" si="96"/>
        <v>4.9410042604295015</v>
      </c>
      <c r="AM78" s="46">
        <f t="shared" si="97"/>
        <v>139.93393447457782</v>
      </c>
      <c r="AN78" s="46">
        <f t="shared" si="98"/>
        <v>2.5511134625647669</v>
      </c>
      <c r="AO78" s="46">
        <f t="shared" si="99"/>
        <v>3.0968755554292189</v>
      </c>
      <c r="AP78" s="46">
        <f t="shared" si="100"/>
        <v>4.940925584363451</v>
      </c>
      <c r="AQ78" s="46">
        <f t="shared" si="101"/>
        <v>2.2128274105719103E-2</v>
      </c>
      <c r="AR78" s="46">
        <f t="shared" si="102"/>
        <v>2.499789514821904</v>
      </c>
      <c r="AS78" s="47">
        <f t="shared" si="103"/>
        <v>5.2808851359450459</v>
      </c>
      <c r="AT78" s="63">
        <f t="shared" si="104"/>
        <v>2.7810956211231419</v>
      </c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1:116" ht="14.1" customHeight="1" x14ac:dyDescent="0.2">
      <c r="A79" s="74" t="s">
        <v>210</v>
      </c>
      <c r="B79" s="83"/>
      <c r="C79" s="86" t="s">
        <v>238</v>
      </c>
      <c r="D79" s="83"/>
      <c r="E79" s="99" t="s">
        <v>224</v>
      </c>
      <c r="F79" s="11"/>
      <c r="G79" s="36"/>
      <c r="H79" s="36"/>
      <c r="I79" s="37"/>
      <c r="J79" s="62"/>
      <c r="K79" s="128"/>
      <c r="L79" s="127"/>
      <c r="N79" s="121">
        <v>15</v>
      </c>
      <c r="P79" s="33"/>
      <c r="Q79" s="33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>
        <f t="shared" si="89"/>
        <v>0</v>
      </c>
      <c r="AD79" s="45">
        <f t="shared" si="89"/>
        <v>0</v>
      </c>
      <c r="AE79" s="45">
        <f t="shared" si="90"/>
        <v>0</v>
      </c>
      <c r="AF79" s="45">
        <f t="shared" si="91"/>
        <v>0</v>
      </c>
      <c r="AG79" s="45"/>
      <c r="AH79" s="45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7"/>
      <c r="AT79" s="63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</row>
    <row r="80" spans="1:116" ht="14.1" customHeight="1" x14ac:dyDescent="0.2">
      <c r="A80" s="74" t="s">
        <v>53</v>
      </c>
      <c r="B80" s="83">
        <v>35</v>
      </c>
      <c r="C80" s="83">
        <v>46</v>
      </c>
      <c r="D80" s="83">
        <v>40.5</v>
      </c>
      <c r="E80" s="102" t="s">
        <v>51</v>
      </c>
      <c r="F80" s="13" t="s">
        <v>92</v>
      </c>
      <c r="G80" s="36">
        <f t="shared" ref="G80:G86" si="105">(X80*100)/D80</f>
        <v>2.5894656430864185</v>
      </c>
      <c r="H80" s="36">
        <f t="shared" ref="H80:H86" si="106">G80*2.39</f>
        <v>6.1888228869765403</v>
      </c>
      <c r="I80" s="37">
        <f t="shared" ref="I80:I86" si="107">H80*1.96</f>
        <v>12.130092858474018</v>
      </c>
      <c r="J80" s="62">
        <f t="shared" ref="J80:J86" si="108">AT80</f>
        <v>0.78168459365923759</v>
      </c>
      <c r="K80" s="128">
        <v>3.5</v>
      </c>
      <c r="L80" s="127">
        <v>6.5</v>
      </c>
      <c r="M80" s="121">
        <v>12</v>
      </c>
      <c r="N80" s="121">
        <v>6.5</v>
      </c>
      <c r="O80" s="121">
        <v>12</v>
      </c>
      <c r="P80" s="33">
        <v>44.51</v>
      </c>
      <c r="Q80" s="33">
        <v>47.49</v>
      </c>
      <c r="R80" s="45">
        <f t="shared" ref="R80:R86" si="109">(LN(C80)-LN(B80))/3.92</f>
        <v>6.971768749991876E-2</v>
      </c>
      <c r="S80" s="45">
        <f t="shared" ref="S80:S86" si="110">100*(EXP(R80^2)-1)^0.5</f>
        <v>6.9802490028152544</v>
      </c>
      <c r="T80" s="45">
        <f t="shared" ref="T80:T86" si="111">(S80-0.25)^0.5</f>
        <v>2.5942723455364618</v>
      </c>
      <c r="U80" s="45">
        <f t="shared" ref="U80:U86" si="112">(B80*C80)^0.5</f>
        <v>40.124805295477756</v>
      </c>
      <c r="V80" s="45">
        <f t="shared" ref="V80:V86" si="113">T80*U80*0.01</f>
        <v>1.0409467274809292</v>
      </c>
      <c r="W80" s="45">
        <f t="shared" ref="W80:W86" si="114">(V80-0.2*V80)/U80</f>
        <v>2.0754178764291694E-2</v>
      </c>
      <c r="X80" s="45">
        <f t="shared" ref="X80:X86" si="115">(D80*W80)+(0.2*V80)</f>
        <v>1.0487335854499995</v>
      </c>
      <c r="Y80" s="45">
        <f t="shared" si="40"/>
        <v>40.5</v>
      </c>
      <c r="Z80" s="45"/>
      <c r="AA80" s="45">
        <f t="shared" ref="AA80:AA86" si="116">(B80*W80)+(0.2*V80)</f>
        <v>0.93458560224639509</v>
      </c>
      <c r="AB80" s="45">
        <f t="shared" ref="AB80:AB86" si="117">(C80*W80)+(0.2*V80)</f>
        <v>1.1628815686536038</v>
      </c>
      <c r="AC80" s="45">
        <f t="shared" si="89"/>
        <v>1.2</v>
      </c>
      <c r="AD80" s="45">
        <f t="shared" si="89"/>
        <v>1.49</v>
      </c>
      <c r="AE80" s="45">
        <f t="shared" si="90"/>
        <v>33.799999999999997</v>
      </c>
      <c r="AF80" s="45">
        <f t="shared" si="91"/>
        <v>36.200000000000003</v>
      </c>
      <c r="AG80" s="45">
        <f t="shared" si="92"/>
        <v>44.51</v>
      </c>
      <c r="AH80" s="45">
        <f t="shared" si="93"/>
        <v>47.49</v>
      </c>
      <c r="AI80" s="46"/>
      <c r="AJ80" s="46">
        <f t="shared" si="94"/>
        <v>35</v>
      </c>
      <c r="AK80" s="46">
        <f t="shared" si="95"/>
        <v>46</v>
      </c>
      <c r="AL80" s="46">
        <f t="shared" si="96"/>
        <v>3.6919947289892541</v>
      </c>
      <c r="AM80" s="46">
        <f t="shared" si="97"/>
        <v>40.222438315680826</v>
      </c>
      <c r="AN80" s="46">
        <f t="shared" si="98"/>
        <v>2.8076263494382916</v>
      </c>
      <c r="AO80" s="46">
        <f t="shared" si="99"/>
        <v>2.997099906795067</v>
      </c>
      <c r="AP80" s="46">
        <f t="shared" si="100"/>
        <v>3.6916565817919893</v>
      </c>
      <c r="AQ80" s="46">
        <f t="shared" si="101"/>
        <v>7.4410015084436371E-2</v>
      </c>
      <c r="AR80" s="46">
        <f t="shared" si="102"/>
        <v>2.4997895148220262</v>
      </c>
      <c r="AS80" s="47">
        <f t="shared" si="103"/>
        <v>3.2814741084812638</v>
      </c>
      <c r="AT80" s="63">
        <f t="shared" si="104"/>
        <v>0.78168459365923759</v>
      </c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</row>
    <row r="81" spans="1:116" ht="14.1" customHeight="1" x14ac:dyDescent="0.2">
      <c r="A81" s="74" t="s">
        <v>54</v>
      </c>
      <c r="B81" s="83">
        <v>7.37</v>
      </c>
      <c r="C81" s="83">
        <v>7.45</v>
      </c>
      <c r="D81" s="83">
        <v>7.41</v>
      </c>
      <c r="F81" s="13" t="s">
        <v>52</v>
      </c>
      <c r="G81" s="36">
        <f t="shared" si="105"/>
        <v>0.15942665587154983</v>
      </c>
      <c r="H81" s="36">
        <f t="shared" si="106"/>
        <v>0.38102970753300414</v>
      </c>
      <c r="I81" s="37">
        <f t="shared" si="107"/>
        <v>0.74681822676468812</v>
      </c>
      <c r="J81" s="62">
        <f t="shared" si="108"/>
        <v>1.9878904313118784</v>
      </c>
      <c r="K81" s="128">
        <v>0.02</v>
      </c>
      <c r="L81" s="127">
        <v>0.4</v>
      </c>
      <c r="M81" s="121">
        <v>0.8</v>
      </c>
      <c r="N81" s="121">
        <v>0.4</v>
      </c>
      <c r="O81" s="121">
        <v>0.8</v>
      </c>
      <c r="P81" s="33">
        <v>7.4300000000000006</v>
      </c>
      <c r="Q81" s="33">
        <v>7.47</v>
      </c>
      <c r="R81" s="45">
        <f t="shared" si="109"/>
        <v>2.7541648444446639E-3</v>
      </c>
      <c r="S81" s="45">
        <f t="shared" si="110"/>
        <v>0.27541700673152419</v>
      </c>
      <c r="T81" s="45">
        <f t="shared" si="111"/>
        <v>0.15942712043916554</v>
      </c>
      <c r="U81" s="45">
        <f t="shared" si="112"/>
        <v>7.4098920370002697</v>
      </c>
      <c r="V81" s="45">
        <f t="shared" si="113"/>
        <v>1.1813377502240556E-2</v>
      </c>
      <c r="W81" s="45">
        <f t="shared" si="114"/>
        <v>1.2754169635133242E-3</v>
      </c>
      <c r="X81" s="45">
        <f t="shared" si="115"/>
        <v>1.1813515200081844E-2</v>
      </c>
      <c r="Y81" s="45">
        <f t="shared" si="40"/>
        <v>7.41</v>
      </c>
      <c r="Z81" s="45"/>
      <c r="AA81" s="45">
        <f t="shared" si="116"/>
        <v>1.1762498521541312E-2</v>
      </c>
      <c r="AB81" s="45">
        <f t="shared" si="117"/>
        <v>1.1864531878622377E-2</v>
      </c>
      <c r="AC81" s="45">
        <f t="shared" si="89"/>
        <v>0.02</v>
      </c>
      <c r="AD81" s="45">
        <f t="shared" si="89"/>
        <v>0.02</v>
      </c>
      <c r="AE81" s="45">
        <f t="shared" si="90"/>
        <v>7.3500000000000005</v>
      </c>
      <c r="AF81" s="45">
        <f t="shared" si="91"/>
        <v>7.39</v>
      </c>
      <c r="AG81" s="45">
        <f t="shared" si="92"/>
        <v>7.4300000000000006</v>
      </c>
      <c r="AH81" s="45">
        <f t="shared" si="93"/>
        <v>7.47</v>
      </c>
      <c r="AI81" s="46"/>
      <c r="AJ81" s="46">
        <f t="shared" si="94"/>
        <v>7.37</v>
      </c>
      <c r="AK81" s="46">
        <f t="shared" si="95"/>
        <v>7.45</v>
      </c>
      <c r="AL81" s="46">
        <f t="shared" si="96"/>
        <v>2.0028158692963567</v>
      </c>
      <c r="AM81" s="46">
        <f t="shared" si="97"/>
        <v>7.4099201406399748</v>
      </c>
      <c r="AN81" s="46">
        <f t="shared" si="98"/>
        <v>2.0408180252546964E-2</v>
      </c>
      <c r="AO81" s="46">
        <f t="shared" si="99"/>
        <v>2.3580775275698903E-2</v>
      </c>
      <c r="AP81" s="46">
        <f t="shared" si="100"/>
        <v>2.0028145984372889</v>
      </c>
      <c r="AQ81" s="46">
        <f t="shared" si="101"/>
        <v>3.1823171001605643E-3</v>
      </c>
      <c r="AR81" s="46">
        <f t="shared" si="102"/>
        <v>2.4997895148218041</v>
      </c>
      <c r="AS81" s="47">
        <f t="shared" si="103"/>
        <v>4.4876799461336825</v>
      </c>
      <c r="AT81" s="63">
        <f t="shared" si="104"/>
        <v>1.9878904313118784</v>
      </c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</row>
    <row r="82" spans="1:116" ht="14.1" customHeight="1" x14ac:dyDescent="0.2">
      <c r="A82" s="74" t="s">
        <v>55</v>
      </c>
      <c r="B82" s="83">
        <v>10</v>
      </c>
      <c r="C82" s="83">
        <v>40</v>
      </c>
      <c r="D82" s="83">
        <v>25</v>
      </c>
      <c r="E82" s="102" t="s">
        <v>23</v>
      </c>
      <c r="F82" s="13"/>
      <c r="G82" s="36">
        <f t="shared" si="105"/>
        <v>5.7799445002074643</v>
      </c>
      <c r="H82" s="36">
        <f t="shared" si="106"/>
        <v>13.81406735549584</v>
      </c>
      <c r="I82" s="37">
        <f t="shared" si="107"/>
        <v>27.075572016771847</v>
      </c>
      <c r="J82" s="62">
        <f t="shared" si="108"/>
        <v>0.15211344385656078</v>
      </c>
      <c r="K82" s="128">
        <v>7</v>
      </c>
      <c r="L82" s="127">
        <v>10</v>
      </c>
      <c r="M82" s="121">
        <v>20</v>
      </c>
      <c r="N82" s="121">
        <v>10</v>
      </c>
      <c r="O82" s="121">
        <v>2</v>
      </c>
      <c r="P82" s="33">
        <v>37.229999999999997</v>
      </c>
      <c r="Q82" s="33">
        <v>42.77</v>
      </c>
      <c r="R82" s="45">
        <f t="shared" si="109"/>
        <v>0.35364652069384961</v>
      </c>
      <c r="S82" s="45">
        <f t="shared" si="110"/>
        <v>36.49973787486816</v>
      </c>
      <c r="T82" s="45">
        <f t="shared" si="111"/>
        <v>6.0207755210494405</v>
      </c>
      <c r="U82" s="45">
        <f t="shared" si="112"/>
        <v>20</v>
      </c>
      <c r="V82" s="45">
        <f t="shared" si="113"/>
        <v>1.2041551042098881</v>
      </c>
      <c r="W82" s="45">
        <f t="shared" si="114"/>
        <v>4.8166204168395524E-2</v>
      </c>
      <c r="X82" s="45">
        <f t="shared" si="115"/>
        <v>1.4449861250518659</v>
      </c>
      <c r="Y82" s="45">
        <f t="shared" si="40"/>
        <v>25</v>
      </c>
      <c r="Z82" s="45"/>
      <c r="AA82" s="45">
        <f t="shared" si="116"/>
        <v>0.72249306252593282</v>
      </c>
      <c r="AB82" s="45">
        <f t="shared" si="117"/>
        <v>2.1674791875777983</v>
      </c>
      <c r="AC82" s="45">
        <f t="shared" si="89"/>
        <v>0.92</v>
      </c>
      <c r="AD82" s="45">
        <f t="shared" si="89"/>
        <v>2.77</v>
      </c>
      <c r="AE82" s="45">
        <f t="shared" si="90"/>
        <v>9.08</v>
      </c>
      <c r="AF82" s="45">
        <f t="shared" si="91"/>
        <v>10.92</v>
      </c>
      <c r="AG82" s="45">
        <f t="shared" si="92"/>
        <v>37.229999999999997</v>
      </c>
      <c r="AH82" s="45">
        <f t="shared" si="93"/>
        <v>42.77</v>
      </c>
      <c r="AI82" s="46"/>
      <c r="AJ82" s="46">
        <f t="shared" si="94"/>
        <v>10</v>
      </c>
      <c r="AK82" s="46">
        <f t="shared" si="95"/>
        <v>40</v>
      </c>
      <c r="AL82" s="46">
        <f t="shared" si="96"/>
        <v>2.9957322735539913</v>
      </c>
      <c r="AM82" s="46">
        <f t="shared" si="97"/>
        <v>21.290590282971575</v>
      </c>
      <c r="AN82" s="46">
        <f t="shared" si="98"/>
        <v>7.7710096452967763</v>
      </c>
      <c r="AO82" s="46">
        <f t="shared" si="99"/>
        <v>7.9042125356602053</v>
      </c>
      <c r="AP82" s="46">
        <f t="shared" si="100"/>
        <v>2.9937040053788442</v>
      </c>
      <c r="AQ82" s="46">
        <f t="shared" si="101"/>
        <v>0.35933605155781295</v>
      </c>
      <c r="AR82" s="46">
        <f t="shared" si="102"/>
        <v>2.4997895148220484</v>
      </c>
      <c r="AS82" s="47">
        <f t="shared" si="103"/>
        <v>2.6519029586786091</v>
      </c>
      <c r="AT82" s="63">
        <f t="shared" si="104"/>
        <v>0.15211344385656078</v>
      </c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</row>
    <row r="83" spans="1:116" ht="14.1" customHeight="1" x14ac:dyDescent="0.2">
      <c r="A83" s="74" t="s">
        <v>56</v>
      </c>
      <c r="B83" s="83">
        <v>10</v>
      </c>
      <c r="C83" s="83">
        <v>20</v>
      </c>
      <c r="D83" s="83">
        <v>15</v>
      </c>
      <c r="E83" s="102" t="s">
        <v>23</v>
      </c>
      <c r="F83" s="13"/>
      <c r="G83" s="36">
        <f t="shared" si="105"/>
        <v>4.1438839645963315</v>
      </c>
      <c r="H83" s="36">
        <f t="shared" si="106"/>
        <v>9.9038826753852334</v>
      </c>
      <c r="I83" s="37">
        <f t="shared" si="107"/>
        <v>19.411610043755058</v>
      </c>
      <c r="J83" s="62">
        <f t="shared" si="108"/>
        <v>0.30356366866339801</v>
      </c>
      <c r="K83" s="128">
        <v>7</v>
      </c>
      <c r="L83" s="127">
        <v>11</v>
      </c>
      <c r="M83" s="121">
        <v>20</v>
      </c>
      <c r="N83" s="121">
        <v>11</v>
      </c>
      <c r="O83" s="121">
        <v>20</v>
      </c>
      <c r="P83" s="33">
        <v>18.989999999999998</v>
      </c>
      <c r="Q83" s="33">
        <v>21.01</v>
      </c>
      <c r="R83" s="45">
        <f t="shared" si="109"/>
        <v>0.17682326034692475</v>
      </c>
      <c r="S83" s="45">
        <f t="shared" si="110"/>
        <v>17.821446548069598</v>
      </c>
      <c r="T83" s="45">
        <f t="shared" si="111"/>
        <v>4.1918309302820882</v>
      </c>
      <c r="U83" s="45">
        <f t="shared" si="112"/>
        <v>14.142135623730951</v>
      </c>
      <c r="V83" s="45">
        <f t="shared" si="113"/>
        <v>0.59281441527799572</v>
      </c>
      <c r="W83" s="45">
        <f t="shared" si="114"/>
        <v>3.3534647442256704E-2</v>
      </c>
      <c r="X83" s="45">
        <f t="shared" si="115"/>
        <v>0.62158259468944976</v>
      </c>
      <c r="Y83" s="45">
        <f t="shared" si="40"/>
        <v>15</v>
      </c>
      <c r="Z83" s="45"/>
      <c r="AA83" s="45">
        <f t="shared" si="116"/>
        <v>0.45390935747816619</v>
      </c>
      <c r="AB83" s="45">
        <f t="shared" si="117"/>
        <v>0.78925583190073323</v>
      </c>
      <c r="AC83" s="45">
        <f t="shared" si="89"/>
        <v>0.57999999999999996</v>
      </c>
      <c r="AD83" s="45">
        <f t="shared" si="89"/>
        <v>1.01</v>
      </c>
      <c r="AE83" s="45">
        <f t="shared" si="90"/>
        <v>9.42</v>
      </c>
      <c r="AF83" s="45">
        <f t="shared" si="91"/>
        <v>10.58</v>
      </c>
      <c r="AG83" s="45">
        <f t="shared" si="92"/>
        <v>18.989999999999998</v>
      </c>
      <c r="AH83" s="45">
        <f t="shared" si="93"/>
        <v>21.01</v>
      </c>
      <c r="AI83" s="46"/>
      <c r="AJ83" s="46">
        <f t="shared" si="94"/>
        <v>10</v>
      </c>
      <c r="AK83" s="46">
        <f t="shared" si="95"/>
        <v>20</v>
      </c>
      <c r="AL83" s="46">
        <f t="shared" si="96"/>
        <v>2.6491586832740186</v>
      </c>
      <c r="AM83" s="46">
        <f t="shared" si="97"/>
        <v>14.364960116245161</v>
      </c>
      <c r="AN83" s="46">
        <f t="shared" si="98"/>
        <v>2.5600436887681481</v>
      </c>
      <c r="AO83" s="46">
        <f t="shared" si="99"/>
        <v>2.6344237719893311</v>
      </c>
      <c r="AP83" s="46">
        <f t="shared" si="100"/>
        <v>2.648252144826579</v>
      </c>
      <c r="AQ83" s="46">
        <f t="shared" si="101"/>
        <v>0.18187782243747033</v>
      </c>
      <c r="AR83" s="46">
        <f t="shared" si="102"/>
        <v>2.4997895148220484</v>
      </c>
      <c r="AS83" s="47">
        <f t="shared" si="103"/>
        <v>2.8033531834854464</v>
      </c>
      <c r="AT83" s="63">
        <f t="shared" si="104"/>
        <v>0.30356366866339801</v>
      </c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</row>
    <row r="84" spans="1:116" ht="14.1" customHeight="1" x14ac:dyDescent="0.2">
      <c r="A84" s="74" t="s">
        <v>57</v>
      </c>
      <c r="B84" s="83">
        <v>0.84</v>
      </c>
      <c r="C84" s="87">
        <v>1.45</v>
      </c>
      <c r="D84" s="83">
        <v>1.145</v>
      </c>
      <c r="E84" s="105" t="s">
        <v>20</v>
      </c>
      <c r="F84" s="17"/>
      <c r="G84" s="36">
        <f t="shared" si="105"/>
        <v>3.6805343141146079</v>
      </c>
      <c r="H84" s="36">
        <f t="shared" si="106"/>
        <v>8.7964770107339127</v>
      </c>
      <c r="I84" s="37">
        <f t="shared" si="107"/>
        <v>17.241094941038469</v>
      </c>
      <c r="J84" s="62">
        <f t="shared" si="108"/>
        <v>0.38727369991485849</v>
      </c>
      <c r="K84" s="132">
        <v>5</v>
      </c>
      <c r="L84" s="127">
        <v>9</v>
      </c>
      <c r="M84" s="121">
        <v>16</v>
      </c>
      <c r="N84" s="121">
        <v>9</v>
      </c>
      <c r="O84" s="121">
        <v>16</v>
      </c>
      <c r="P84" s="33">
        <v>1.38</v>
      </c>
      <c r="Q84" s="33">
        <v>1.52</v>
      </c>
      <c r="R84" s="45">
        <f t="shared" si="109"/>
        <v>0.13926452642277062</v>
      </c>
      <c r="S84" s="45">
        <f t="shared" si="110"/>
        <v>13.994250797038573</v>
      </c>
      <c r="T84" s="45">
        <f t="shared" si="111"/>
        <v>3.7073239401269715</v>
      </c>
      <c r="U84" s="45">
        <f t="shared" si="112"/>
        <v>1.1036303729057115</v>
      </c>
      <c r="V84" s="45">
        <f t="shared" si="113"/>
        <v>4.0915153025246009E-2</v>
      </c>
      <c r="W84" s="45">
        <f t="shared" si="114"/>
        <v>2.965859152101577E-2</v>
      </c>
      <c r="X84" s="45">
        <f t="shared" si="115"/>
        <v>4.2142117896612263E-2</v>
      </c>
      <c r="Y84" s="45">
        <f t="shared" ref="Y84:Y131" si="118">(B84+C84)/2</f>
        <v>1.145</v>
      </c>
      <c r="Z84" s="45"/>
      <c r="AA84" s="45">
        <f t="shared" si="116"/>
        <v>3.309624748270245E-2</v>
      </c>
      <c r="AB84" s="45">
        <f t="shared" si="117"/>
        <v>5.118798831052207E-2</v>
      </c>
      <c r="AC84" s="45">
        <f t="shared" si="89"/>
        <v>0.04</v>
      </c>
      <c r="AD84" s="45">
        <f t="shared" si="89"/>
        <v>7.0000000000000007E-2</v>
      </c>
      <c r="AE84" s="45">
        <f t="shared" si="90"/>
        <v>0.79999999999999993</v>
      </c>
      <c r="AF84" s="45">
        <f t="shared" si="91"/>
        <v>0.88</v>
      </c>
      <c r="AG84" s="45">
        <f t="shared" si="92"/>
        <v>1.38</v>
      </c>
      <c r="AH84" s="45">
        <f t="shared" si="93"/>
        <v>1.52</v>
      </c>
      <c r="AI84" s="46"/>
      <c r="AJ84" s="46">
        <f t="shared" si="94"/>
        <v>0.84</v>
      </c>
      <c r="AK84" s="46">
        <f t="shared" si="95"/>
        <v>1.45</v>
      </c>
      <c r="AL84" s="46">
        <f t="shared" si="96"/>
        <v>9.8605084643852606E-2</v>
      </c>
      <c r="AM84" s="46">
        <f t="shared" si="97"/>
        <v>1.1143846718903292</v>
      </c>
      <c r="AN84" s="46">
        <f t="shared" si="98"/>
        <v>0.15594978582808808</v>
      </c>
      <c r="AO84" s="46">
        <f t="shared" si="99"/>
        <v>0.16154347340774405</v>
      </c>
      <c r="AP84" s="46">
        <f t="shared" si="100"/>
        <v>9.7904266895396164E-2</v>
      </c>
      <c r="AQ84" s="46">
        <f t="shared" si="101"/>
        <v>0.14420902820791642</v>
      </c>
      <c r="AR84" s="46">
        <f t="shared" si="102"/>
        <v>2.4997895148220484</v>
      </c>
      <c r="AS84" s="47">
        <f t="shared" si="103"/>
        <v>2.8870632147369069</v>
      </c>
      <c r="AT84" s="63">
        <f t="shared" si="104"/>
        <v>0.38727369991485849</v>
      </c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</row>
    <row r="85" spans="1:116" ht="14.1" customHeight="1" x14ac:dyDescent="0.2">
      <c r="A85" s="74" t="s">
        <v>50</v>
      </c>
      <c r="B85" s="83">
        <v>71</v>
      </c>
      <c r="C85" s="83">
        <v>104</v>
      </c>
      <c r="D85" s="83">
        <v>87.5</v>
      </c>
      <c r="E85" s="102" t="s">
        <v>51</v>
      </c>
      <c r="F85" s="13" t="s">
        <v>91</v>
      </c>
      <c r="G85" s="36">
        <f t="shared" si="105"/>
        <v>3.0728694079972119</v>
      </c>
      <c r="H85" s="36">
        <f t="shared" si="106"/>
        <v>7.3441578851133364</v>
      </c>
      <c r="I85" s="37">
        <f t="shared" si="107"/>
        <v>14.394549454822139</v>
      </c>
      <c r="J85" s="62">
        <f t="shared" si="108"/>
        <v>0.55771191330944436</v>
      </c>
      <c r="K85" s="128">
        <v>4</v>
      </c>
      <c r="L85" s="127">
        <v>7</v>
      </c>
      <c r="M85" s="121">
        <v>18</v>
      </c>
      <c r="N85" s="121">
        <v>7</v>
      </c>
      <c r="O85" s="121">
        <v>18</v>
      </c>
      <c r="P85" s="33">
        <v>100.04</v>
      </c>
      <c r="Q85" s="33">
        <v>107.96</v>
      </c>
      <c r="R85" s="45">
        <f t="shared" si="109"/>
        <v>9.7375260739810468E-2</v>
      </c>
      <c r="S85" s="45">
        <f t="shared" si="110"/>
        <v>9.7606543994105373</v>
      </c>
      <c r="T85" s="45">
        <f t="shared" si="111"/>
        <v>3.0839348889706697</v>
      </c>
      <c r="U85" s="45">
        <f t="shared" si="112"/>
        <v>85.930204235763341</v>
      </c>
      <c r="V85" s="45">
        <f t="shared" si="113"/>
        <v>2.6500315485904578</v>
      </c>
      <c r="W85" s="45">
        <f t="shared" si="114"/>
        <v>2.4671479111765357E-2</v>
      </c>
      <c r="X85" s="45">
        <f t="shared" si="115"/>
        <v>2.6887607319975606</v>
      </c>
      <c r="Y85" s="45">
        <f t="shared" si="118"/>
        <v>87.5</v>
      </c>
      <c r="Z85" s="45"/>
      <c r="AA85" s="45">
        <f t="shared" si="116"/>
        <v>2.2816813266534322</v>
      </c>
      <c r="AB85" s="45">
        <f t="shared" si="117"/>
        <v>3.0958401373416891</v>
      </c>
      <c r="AC85" s="45">
        <f t="shared" si="89"/>
        <v>2.92</v>
      </c>
      <c r="AD85" s="45">
        <f t="shared" si="89"/>
        <v>3.96</v>
      </c>
      <c r="AE85" s="45">
        <f t="shared" si="90"/>
        <v>68.08</v>
      </c>
      <c r="AF85" s="45">
        <f t="shared" si="91"/>
        <v>73.92</v>
      </c>
      <c r="AG85" s="45">
        <f t="shared" si="92"/>
        <v>100.04</v>
      </c>
      <c r="AH85" s="45">
        <f t="shared" si="93"/>
        <v>107.96</v>
      </c>
      <c r="AI85" s="46"/>
      <c r="AJ85" s="46">
        <f t="shared" si="94"/>
        <v>71</v>
      </c>
      <c r="AK85" s="46">
        <f t="shared" si="95"/>
        <v>104</v>
      </c>
      <c r="AL85" s="46">
        <f t="shared" si="96"/>
        <v>4.4535353880913444</v>
      </c>
      <c r="AM85" s="46">
        <f t="shared" si="97"/>
        <v>86.338564062570697</v>
      </c>
      <c r="AN85" s="46">
        <f t="shared" si="98"/>
        <v>8.4272088515611916</v>
      </c>
      <c r="AO85" s="46">
        <f t="shared" si="99"/>
        <v>8.8457494482809853</v>
      </c>
      <c r="AP85" s="46">
        <f t="shared" si="100"/>
        <v>4.4530552809169848</v>
      </c>
      <c r="AQ85" s="46">
        <f t="shared" si="101"/>
        <v>0.10218686683163307</v>
      </c>
      <c r="AR85" s="46">
        <f t="shared" si="102"/>
        <v>2.4997895148220706</v>
      </c>
      <c r="AS85" s="47">
        <f t="shared" si="103"/>
        <v>3.0575014281315149</v>
      </c>
      <c r="AT85" s="63">
        <f t="shared" si="104"/>
        <v>0.55771191330944436</v>
      </c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</row>
    <row r="86" spans="1:116" ht="14.1" customHeight="1" x14ac:dyDescent="0.2">
      <c r="A86" s="74" t="s">
        <v>58</v>
      </c>
      <c r="B86" s="83">
        <v>5</v>
      </c>
      <c r="C86" s="83">
        <v>15</v>
      </c>
      <c r="D86" s="83">
        <v>10</v>
      </c>
      <c r="E86" s="102" t="s">
        <v>23</v>
      </c>
      <c r="F86" s="13"/>
      <c r="G86" s="36">
        <f t="shared" si="105"/>
        <v>5.1804553572245799</v>
      </c>
      <c r="H86" s="36">
        <f t="shared" si="106"/>
        <v>12.381288303766746</v>
      </c>
      <c r="I86" s="37">
        <f t="shared" si="107"/>
        <v>24.267325075382821</v>
      </c>
      <c r="J86" s="62">
        <f t="shared" si="108"/>
        <v>0.19095850525744362</v>
      </c>
      <c r="K86" s="137">
        <v>8</v>
      </c>
      <c r="L86" s="127"/>
      <c r="P86" s="33">
        <v>14.06</v>
      </c>
      <c r="Q86" s="33">
        <v>15.94</v>
      </c>
      <c r="R86" s="45">
        <f t="shared" si="109"/>
        <v>0.28025823690513008</v>
      </c>
      <c r="S86" s="45">
        <f t="shared" si="110"/>
        <v>28.585255685577405</v>
      </c>
      <c r="T86" s="45">
        <f t="shared" si="111"/>
        <v>5.3230870447116869</v>
      </c>
      <c r="U86" s="45">
        <f t="shared" si="112"/>
        <v>8.6602540378443873</v>
      </c>
      <c r="V86" s="45">
        <f t="shared" si="113"/>
        <v>0.46099286072761536</v>
      </c>
      <c r="W86" s="45">
        <f t="shared" si="114"/>
        <v>4.2584696357693498E-2</v>
      </c>
      <c r="X86" s="45">
        <f t="shared" si="115"/>
        <v>0.51804553572245804</v>
      </c>
      <c r="Y86" s="45">
        <f t="shared" si="118"/>
        <v>10</v>
      </c>
      <c r="Z86" s="45"/>
      <c r="AA86" s="45">
        <f t="shared" si="116"/>
        <v>0.30512205393399056</v>
      </c>
      <c r="AB86" s="45">
        <f t="shared" si="117"/>
        <v>0.73096901751092558</v>
      </c>
      <c r="AC86" s="45">
        <f t="shared" si="89"/>
        <v>0.39</v>
      </c>
      <c r="AD86" s="45">
        <f t="shared" si="89"/>
        <v>0.94</v>
      </c>
      <c r="AE86" s="45">
        <f t="shared" si="90"/>
        <v>4.6100000000000003</v>
      </c>
      <c r="AF86" s="45">
        <f t="shared" si="91"/>
        <v>5.39</v>
      </c>
      <c r="AG86" s="45">
        <f t="shared" si="92"/>
        <v>14.06</v>
      </c>
      <c r="AH86" s="45">
        <f t="shared" si="93"/>
        <v>15.94</v>
      </c>
      <c r="AI86" s="46"/>
      <c r="AJ86" s="46">
        <f t="shared" si="94"/>
        <v>5</v>
      </c>
      <c r="AK86" s="46">
        <f t="shared" si="95"/>
        <v>15</v>
      </c>
      <c r="AL86" s="46">
        <f t="shared" si="96"/>
        <v>2.1587440567681551</v>
      </c>
      <c r="AM86" s="46">
        <f t="shared" si="97"/>
        <v>9.0071291941202745</v>
      </c>
      <c r="AN86" s="46">
        <f t="shared" si="98"/>
        <v>2.5747109100695682</v>
      </c>
      <c r="AO86" s="46">
        <f t="shared" si="99"/>
        <v>2.6263106152001963</v>
      </c>
      <c r="AP86" s="46">
        <f t="shared" si="100"/>
        <v>2.1572173404163508</v>
      </c>
      <c r="AQ86" s="46">
        <f t="shared" si="101"/>
        <v>0.28565383256098736</v>
      </c>
      <c r="AR86" s="46">
        <f t="shared" si="102"/>
        <v>2.4997895148220373</v>
      </c>
      <c r="AS86" s="47">
        <f t="shared" si="103"/>
        <v>2.6907480200794809</v>
      </c>
      <c r="AT86" s="63">
        <f t="shared" si="104"/>
        <v>0.19095850525744362</v>
      </c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</row>
    <row r="87" spans="1:116" ht="14.1" customHeight="1" x14ac:dyDescent="0.2">
      <c r="A87" s="74" t="s">
        <v>212</v>
      </c>
      <c r="B87" s="84" t="s">
        <v>239</v>
      </c>
      <c r="C87" s="89"/>
      <c r="D87" s="83"/>
      <c r="E87" s="99" t="s">
        <v>15</v>
      </c>
      <c r="F87" s="11"/>
      <c r="G87" s="36"/>
      <c r="H87" s="36"/>
      <c r="I87" s="37"/>
      <c r="J87" s="62"/>
      <c r="K87" s="128"/>
      <c r="L87" s="127"/>
      <c r="N87" s="121">
        <v>18</v>
      </c>
      <c r="P87" s="33"/>
      <c r="Q87" s="33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7"/>
      <c r="AT87" s="63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</row>
    <row r="88" spans="1:116" ht="14.1" customHeight="1" x14ac:dyDescent="0.2">
      <c r="A88" s="74" t="s">
        <v>161</v>
      </c>
      <c r="B88" s="83">
        <v>13.3</v>
      </c>
      <c r="C88" s="87">
        <v>75.400000000000006</v>
      </c>
      <c r="D88" s="83">
        <v>44.35</v>
      </c>
      <c r="E88" s="105" t="s">
        <v>28</v>
      </c>
      <c r="F88" s="30" t="s">
        <v>119</v>
      </c>
      <c r="G88" s="36">
        <f>(X88*100)/D88</f>
        <v>6.4131776354834118</v>
      </c>
      <c r="H88" s="36">
        <f>G88*2.39</f>
        <v>15.327494548805355</v>
      </c>
      <c r="I88" s="37">
        <f>H88*1.96</f>
        <v>30.041889315658494</v>
      </c>
      <c r="J88" s="62">
        <f>AT88</f>
        <v>0.12276150265719821</v>
      </c>
      <c r="K88" s="128">
        <v>12</v>
      </c>
      <c r="L88" s="127">
        <v>17</v>
      </c>
      <c r="M88" s="121">
        <v>35</v>
      </c>
      <c r="N88" s="121">
        <v>17</v>
      </c>
      <c r="O88" s="121">
        <v>35</v>
      </c>
      <c r="P88" s="33">
        <v>69.600000000000009</v>
      </c>
      <c r="Q88" s="33">
        <v>81.2</v>
      </c>
      <c r="R88" s="45">
        <f>(LN(C88)-LN(B88))/3.92</f>
        <v>0.44261307137403116</v>
      </c>
      <c r="S88" s="45">
        <f>100*(EXP(R88^2)-1)^0.5</f>
        <v>46.520206335835127</v>
      </c>
      <c r="T88" s="45">
        <f>(S88-0.25)^0.5</f>
        <v>6.8022206914973822</v>
      </c>
      <c r="U88" s="45">
        <f>(B88*C88)^0.5</f>
        <v>31.667333326315941</v>
      </c>
      <c r="V88" s="45">
        <f>T88*U88*0.01</f>
        <v>2.1540818999681091</v>
      </c>
      <c r="W88" s="45">
        <f>(V88-0.2*V88)/U88</f>
        <v>5.4417765531979058E-2</v>
      </c>
      <c r="X88" s="45">
        <f>(D88*W88)+(0.2*V88)</f>
        <v>2.8442442813368931</v>
      </c>
      <c r="Y88" s="45">
        <f t="shared" si="118"/>
        <v>44.35</v>
      </c>
      <c r="Z88" s="45"/>
      <c r="AA88" s="45">
        <f>(B88*W88)+(0.2*V88)</f>
        <v>1.1545726615689433</v>
      </c>
      <c r="AB88" s="45">
        <f>(C88*W88)+(0.2*V88)</f>
        <v>4.5339159011048427</v>
      </c>
      <c r="AC88" s="45">
        <f t="shared" si="89"/>
        <v>1.48</v>
      </c>
      <c r="AD88" s="45">
        <f t="shared" si="89"/>
        <v>5.8</v>
      </c>
      <c r="AE88" s="45">
        <f t="shared" si="90"/>
        <v>11.82</v>
      </c>
      <c r="AF88" s="45">
        <f t="shared" si="91"/>
        <v>14.780000000000001</v>
      </c>
      <c r="AG88" s="45">
        <f t="shared" si="92"/>
        <v>69.600000000000009</v>
      </c>
      <c r="AH88" s="45">
        <f t="shared" si="93"/>
        <v>81.2</v>
      </c>
      <c r="AI88" s="46"/>
      <c r="AJ88" s="46">
        <f t="shared" si="94"/>
        <v>13.3</v>
      </c>
      <c r="AK88" s="46">
        <f t="shared" si="95"/>
        <v>75.400000000000006</v>
      </c>
      <c r="AL88" s="46">
        <f t="shared" si="96"/>
        <v>3.4552856551208091</v>
      </c>
      <c r="AM88" s="46">
        <f t="shared" si="97"/>
        <v>34.926254369734103</v>
      </c>
      <c r="AN88" s="46">
        <f t="shared" si="98"/>
        <v>16.247765598178937</v>
      </c>
      <c r="AO88" s="46">
        <f t="shared" si="99"/>
        <v>16.494835933263616</v>
      </c>
      <c r="AP88" s="46">
        <f t="shared" si="100"/>
        <v>3.4525671037699479</v>
      </c>
      <c r="AQ88" s="46">
        <f t="shared" si="101"/>
        <v>0.44871308611726068</v>
      </c>
      <c r="AR88" s="46">
        <f t="shared" si="102"/>
        <v>2.4997895148220373</v>
      </c>
      <c r="AS88" s="47">
        <f t="shared" si="103"/>
        <v>2.6225510174792355</v>
      </c>
      <c r="AT88" s="63">
        <f t="shared" si="104"/>
        <v>0.12276150265719821</v>
      </c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</row>
    <row r="89" spans="1:116" ht="14.1" customHeight="1" x14ac:dyDescent="0.2">
      <c r="A89" s="74" t="s">
        <v>162</v>
      </c>
      <c r="B89" s="83">
        <v>0.27</v>
      </c>
      <c r="C89" s="83">
        <v>1.87</v>
      </c>
      <c r="D89" s="83">
        <v>1.07</v>
      </c>
      <c r="E89" s="103" t="s">
        <v>15</v>
      </c>
      <c r="F89" s="13" t="s">
        <v>93</v>
      </c>
      <c r="G89" s="36">
        <f>(X89*100)/D89</f>
        <v>6.7450930205053732</v>
      </c>
      <c r="H89" s="36">
        <f>G89*2.39</f>
        <v>16.120772319007841</v>
      </c>
      <c r="I89" s="37">
        <f>H89*1.96</f>
        <v>31.596713745255368</v>
      </c>
      <c r="J89" s="62">
        <f>AT89</f>
        <v>0.11068617939847814</v>
      </c>
      <c r="K89" s="128">
        <v>9</v>
      </c>
      <c r="L89" s="127">
        <v>15.5</v>
      </c>
      <c r="M89" s="121">
        <v>25</v>
      </c>
      <c r="N89" s="121">
        <v>15.5</v>
      </c>
      <c r="O89" s="121">
        <v>25</v>
      </c>
      <c r="P89" s="33">
        <v>1.7200000000000002</v>
      </c>
      <c r="Q89" s="33">
        <v>2.02</v>
      </c>
      <c r="R89" s="45">
        <f>(LN(C89)-LN(B89))/3.92</f>
        <v>0.49369177317608615</v>
      </c>
      <c r="S89" s="45">
        <f>100*(EXP(R89^2)-1)^0.5</f>
        <v>52.535869975342933</v>
      </c>
      <c r="T89" s="45">
        <f>(S89-0.25)^0.5</f>
        <v>7.230896899786563</v>
      </c>
      <c r="U89" s="45">
        <f>(B89*C89)^0.5</f>
        <v>0.71056315693962069</v>
      </c>
      <c r="V89" s="45">
        <f>T89*U89*0.01</f>
        <v>5.1380089286172562E-2</v>
      </c>
      <c r="W89" s="45">
        <f>(V89-0.2*V89)/U89</f>
        <v>5.7847175198292508E-2</v>
      </c>
      <c r="X89" s="45">
        <f>(D89*W89)+(0.2*V89)</f>
        <v>7.2172495319407504E-2</v>
      </c>
      <c r="Y89" s="45">
        <f t="shared" si="118"/>
        <v>1.07</v>
      </c>
      <c r="Z89" s="45"/>
      <c r="AA89" s="45">
        <f>(B89*W89)+(0.2*V89)</f>
        <v>2.589475516077349E-2</v>
      </c>
      <c r="AB89" s="45">
        <f>(C89*W89)+(0.2*V89)</f>
        <v>0.11845023547804151</v>
      </c>
      <c r="AC89" s="45">
        <f t="shared" si="89"/>
        <v>0.03</v>
      </c>
      <c r="AD89" s="45">
        <f t="shared" si="89"/>
        <v>0.15</v>
      </c>
      <c r="AE89" s="45">
        <f t="shared" si="90"/>
        <v>0.24000000000000002</v>
      </c>
      <c r="AF89" s="45">
        <f t="shared" si="91"/>
        <v>0.30000000000000004</v>
      </c>
      <c r="AG89" s="45">
        <f t="shared" si="92"/>
        <v>1.7200000000000002</v>
      </c>
      <c r="AH89" s="45">
        <f t="shared" si="93"/>
        <v>2.02</v>
      </c>
      <c r="AI89" s="46"/>
      <c r="AJ89" s="46">
        <f t="shared" si="94"/>
        <v>0.27</v>
      </c>
      <c r="AK89" s="46">
        <f t="shared" si="95"/>
        <v>1.87</v>
      </c>
      <c r="AL89" s="46">
        <f t="shared" si="96"/>
        <v>-0.34169744455863343</v>
      </c>
      <c r="AM89" s="46">
        <f t="shared" si="97"/>
        <v>0.80265390445944973</v>
      </c>
      <c r="AN89" s="46">
        <f t="shared" si="98"/>
        <v>0.42168121159882976</v>
      </c>
      <c r="AO89" s="46">
        <f t="shared" si="99"/>
        <v>0.4278129419455271</v>
      </c>
      <c r="AP89" s="46">
        <f t="shared" si="100"/>
        <v>-0.34485559806717148</v>
      </c>
      <c r="AQ89" s="46">
        <f t="shared" si="101"/>
        <v>0.50004787162713149</v>
      </c>
      <c r="AR89" s="46">
        <f t="shared" si="102"/>
        <v>2.4997895148220484</v>
      </c>
      <c r="AS89" s="47">
        <f t="shared" si="103"/>
        <v>2.6104756942205265</v>
      </c>
      <c r="AT89" s="63">
        <f t="shared" si="104"/>
        <v>0.11068617939847814</v>
      </c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</row>
    <row r="90" spans="1:116" ht="14.1" customHeight="1" x14ac:dyDescent="0.2">
      <c r="A90" s="74" t="s">
        <v>176</v>
      </c>
      <c r="B90" s="83">
        <v>66</v>
      </c>
      <c r="C90" s="95">
        <v>83</v>
      </c>
      <c r="D90" s="83">
        <v>74.5</v>
      </c>
      <c r="E90" s="104" t="s">
        <v>9</v>
      </c>
      <c r="F90" s="16"/>
      <c r="G90" s="36">
        <f>(X90*100)/D90</f>
        <v>2.3636742969548279</v>
      </c>
      <c r="H90" s="36">
        <f>G90*2.39</f>
        <v>5.6491815697220389</v>
      </c>
      <c r="I90" s="37">
        <f>H90*1.96</f>
        <v>11.072395876655197</v>
      </c>
      <c r="J90" s="62">
        <f>AT90</f>
        <v>0.93202326728587526</v>
      </c>
      <c r="K90" s="128">
        <v>3</v>
      </c>
      <c r="L90" s="127">
        <v>6</v>
      </c>
      <c r="M90" s="121">
        <v>10</v>
      </c>
      <c r="N90" s="121">
        <v>6</v>
      </c>
      <c r="O90" s="121">
        <v>10</v>
      </c>
      <c r="P90" s="33">
        <v>80.540000000000006</v>
      </c>
      <c r="Q90" s="33">
        <v>85.46</v>
      </c>
      <c r="R90" s="45">
        <f>(LN(C90)-LN(B90))/3.92</f>
        <v>5.8465782084227827E-2</v>
      </c>
      <c r="S90" s="45">
        <f>100*(EXP(R90^2)-1)^0.5</f>
        <v>5.8515780313528101</v>
      </c>
      <c r="T90" s="45">
        <f>(S90-0.25)^0.5</f>
        <v>2.3667653097324224</v>
      </c>
      <c r="U90" s="45">
        <f>(B90*C90)^0.5</f>
        <v>74.01351227985333</v>
      </c>
      <c r="V90" s="45">
        <f>T90*U90*0.01</f>
        <v>1.7517261331541152</v>
      </c>
      <c r="W90" s="45">
        <f>(V90-0.2*V90)/U90</f>
        <v>1.8934122477859378E-2</v>
      </c>
      <c r="X90" s="45">
        <f>(D90*W90)+(0.2*V90)</f>
        <v>1.7609373512313469</v>
      </c>
      <c r="Y90" s="45">
        <f t="shared" si="118"/>
        <v>74.5</v>
      </c>
      <c r="Z90" s="45"/>
      <c r="AA90" s="45">
        <f>(B90*W90)+(0.2*V90)</f>
        <v>1.5999973101695422</v>
      </c>
      <c r="AB90" s="45">
        <f>(C90*W90)+(0.2*V90)</f>
        <v>1.9218773922931516</v>
      </c>
      <c r="AC90" s="45">
        <f t="shared" si="89"/>
        <v>2.0499999999999998</v>
      </c>
      <c r="AD90" s="45">
        <f t="shared" si="89"/>
        <v>2.46</v>
      </c>
      <c r="AE90" s="45">
        <f t="shared" si="90"/>
        <v>63.95</v>
      </c>
      <c r="AF90" s="45">
        <f t="shared" si="91"/>
        <v>68.05</v>
      </c>
      <c r="AG90" s="45">
        <f t="shared" si="92"/>
        <v>80.540000000000006</v>
      </c>
      <c r="AH90" s="45">
        <f t="shared" si="93"/>
        <v>85.46</v>
      </c>
      <c r="AI90" s="46"/>
      <c r="AJ90" s="46">
        <f t="shared" si="94"/>
        <v>66</v>
      </c>
      <c r="AK90" s="46">
        <f t="shared" si="95"/>
        <v>83</v>
      </c>
      <c r="AL90" s="46">
        <f t="shared" si="96"/>
        <v>4.3042476749115117</v>
      </c>
      <c r="AM90" s="46">
        <f t="shared" si="97"/>
        <v>74.14011870018382</v>
      </c>
      <c r="AN90" s="46">
        <f t="shared" si="98"/>
        <v>4.3383668982788528</v>
      </c>
      <c r="AO90" s="46">
        <f t="shared" si="99"/>
        <v>4.682128543626642</v>
      </c>
      <c r="AP90" s="46">
        <f t="shared" si="100"/>
        <v>4.3039666500893139</v>
      </c>
      <c r="AQ90" s="46">
        <f t="shared" si="101"/>
        <v>6.3089597550745072E-2</v>
      </c>
      <c r="AR90" s="46">
        <f t="shared" si="102"/>
        <v>2.4997895148220484</v>
      </c>
      <c r="AS90" s="47">
        <f t="shared" si="103"/>
        <v>3.4318127821079236</v>
      </c>
      <c r="AT90" s="63">
        <f t="shared" si="104"/>
        <v>0.93202326728587526</v>
      </c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</row>
    <row r="91" spans="1:116" ht="14.1" customHeight="1" x14ac:dyDescent="0.2">
      <c r="A91" s="74" t="s">
        <v>218</v>
      </c>
      <c r="B91" s="83">
        <v>80</v>
      </c>
      <c r="C91" s="89">
        <v>130</v>
      </c>
      <c r="D91" s="83">
        <v>105</v>
      </c>
      <c r="E91" s="99" t="s">
        <v>40</v>
      </c>
      <c r="F91" s="11"/>
      <c r="G91" s="36"/>
      <c r="H91" s="36"/>
      <c r="I91" s="37"/>
      <c r="J91" s="62"/>
      <c r="K91" s="128"/>
      <c r="L91" s="127"/>
      <c r="N91" s="121">
        <v>11.5</v>
      </c>
      <c r="O91" s="121">
        <v>23</v>
      </c>
      <c r="P91" s="33"/>
      <c r="Q91" s="33"/>
      <c r="R91" s="45">
        <f t="shared" ref="R91:R94" si="119">(LN(C91)-LN(B91))/3.92</f>
        <v>0.12385403463818903</v>
      </c>
      <c r="S91" s="45">
        <f t="shared" ref="S91:S94" si="120">100*(EXP(R91^2)-1)^0.5</f>
        <v>12.433053076727273</v>
      </c>
      <c r="T91" s="45">
        <f t="shared" ref="T91:T94" si="121">(S91-0.25)^0.5</f>
        <v>3.4904230512542851</v>
      </c>
      <c r="U91" s="45">
        <f t="shared" ref="U91:U94" si="122">(B91*C91)^0.5</f>
        <v>101.9803902718557</v>
      </c>
      <c r="V91" s="45">
        <f t="shared" ref="V91:V94" si="123">T91*U91*0.01</f>
        <v>3.559547049807934</v>
      </c>
      <c r="W91" s="45">
        <f t="shared" ref="W91:W94" si="124">(V91-0.2*V91)/U91</f>
        <v>2.7923384410034283E-2</v>
      </c>
      <c r="X91" s="45">
        <f t="shared" ref="X91:X94" si="125">(D91*W91)+(0.2*V91)</f>
        <v>3.6438647730151867</v>
      </c>
      <c r="Y91" s="45">
        <f t="shared" si="118"/>
        <v>105</v>
      </c>
      <c r="Z91" s="45"/>
      <c r="AA91" s="45"/>
      <c r="AB91" s="45"/>
      <c r="AC91" s="45">
        <f t="shared" si="89"/>
        <v>0</v>
      </c>
      <c r="AD91" s="45">
        <f t="shared" si="89"/>
        <v>0</v>
      </c>
      <c r="AE91" s="45">
        <f t="shared" si="90"/>
        <v>80</v>
      </c>
      <c r="AF91" s="45">
        <f t="shared" si="91"/>
        <v>80</v>
      </c>
      <c r="AG91" s="45">
        <f t="shared" si="92"/>
        <v>130</v>
      </c>
      <c r="AH91" s="45">
        <f t="shared" si="93"/>
        <v>130</v>
      </c>
      <c r="AI91" s="46"/>
      <c r="AJ91" s="46">
        <f t="shared" si="94"/>
        <v>80</v>
      </c>
      <c r="AK91" s="46">
        <f t="shared" si="95"/>
        <v>130</v>
      </c>
      <c r="AL91" s="46">
        <f t="shared" si="96"/>
        <v>4.6247805425647321</v>
      </c>
      <c r="AM91" s="46">
        <f t="shared" si="97"/>
        <v>102.76557809481278</v>
      </c>
      <c r="AN91" s="46">
        <f t="shared" si="98"/>
        <v>12.776898869133689</v>
      </c>
      <c r="AO91" s="46">
        <f t="shared" si="99"/>
        <v>13.286342431086545</v>
      </c>
      <c r="AP91" s="46">
        <f t="shared" si="100"/>
        <v>4.6241618591845191</v>
      </c>
      <c r="AQ91" s="46">
        <f t="shared" si="101"/>
        <v>0.12875243165309264</v>
      </c>
      <c r="AR91" s="46">
        <f t="shared" si="102"/>
        <v>2.4997895148220595</v>
      </c>
      <c r="AS91" s="47">
        <f t="shared" si="103"/>
        <v>2.9363144942281205</v>
      </c>
      <c r="AT91" s="63">
        <f t="shared" si="104"/>
        <v>0.43652497940606105</v>
      </c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</row>
    <row r="92" spans="1:116" ht="14.1" customHeight="1" x14ac:dyDescent="0.2">
      <c r="A92" s="74" t="s">
        <v>213</v>
      </c>
      <c r="B92" s="83">
        <v>3</v>
      </c>
      <c r="C92" s="89">
        <v>116</v>
      </c>
      <c r="D92" s="83">
        <v>69.5</v>
      </c>
      <c r="E92" s="99" t="s">
        <v>64</v>
      </c>
      <c r="F92" s="11"/>
      <c r="G92" s="36"/>
      <c r="H92" s="36"/>
      <c r="I92" s="37"/>
      <c r="J92" s="62"/>
      <c r="K92" s="128"/>
      <c r="L92" s="127"/>
      <c r="N92" s="121">
        <v>25</v>
      </c>
      <c r="P92" s="33"/>
      <c r="Q92" s="33"/>
      <c r="R92" s="45">
        <f t="shared" si="119"/>
        <v>0.9323923220505751</v>
      </c>
      <c r="S92" s="45">
        <f t="shared" si="120"/>
        <v>117.70186265649969</v>
      </c>
      <c r="T92" s="45">
        <f t="shared" si="121"/>
        <v>10.837521056796138</v>
      </c>
      <c r="U92" s="45">
        <f t="shared" si="122"/>
        <v>18.654758106177631</v>
      </c>
      <c r="V92" s="45">
        <f t="shared" si="123"/>
        <v>2.0217133378513852</v>
      </c>
      <c r="W92" s="45">
        <f t="shared" si="124"/>
        <v>8.6700168454369106E-2</v>
      </c>
      <c r="X92" s="45">
        <f t="shared" si="125"/>
        <v>6.43000437514893</v>
      </c>
      <c r="Y92" s="45">
        <f t="shared" si="118"/>
        <v>59.5</v>
      </c>
      <c r="Z92" s="45"/>
      <c r="AA92" s="45"/>
      <c r="AB92" s="45"/>
      <c r="AC92" s="45">
        <f t="shared" si="89"/>
        <v>0</v>
      </c>
      <c r="AD92" s="45">
        <f t="shared" si="89"/>
        <v>0</v>
      </c>
      <c r="AE92" s="45">
        <f t="shared" si="90"/>
        <v>3</v>
      </c>
      <c r="AF92" s="45">
        <f t="shared" si="91"/>
        <v>3</v>
      </c>
      <c r="AG92" s="45">
        <f t="shared" si="92"/>
        <v>116</v>
      </c>
      <c r="AH92" s="45">
        <f t="shared" si="93"/>
        <v>116</v>
      </c>
      <c r="AI92" s="46"/>
      <c r="AJ92" s="46">
        <f t="shared" si="94"/>
        <v>3</v>
      </c>
      <c r="AK92" s="46">
        <f t="shared" si="95"/>
        <v>116</v>
      </c>
      <c r="AL92" s="46">
        <f t="shared" si="96"/>
        <v>2.9261012398872372</v>
      </c>
      <c r="AM92" s="46">
        <f t="shared" si="97"/>
        <v>28.811625272687603</v>
      </c>
      <c r="AN92" s="46">
        <f t="shared" si="98"/>
        <v>33.911819607564119</v>
      </c>
      <c r="AO92" s="46">
        <f t="shared" si="99"/>
        <v>34.516032004858332</v>
      </c>
      <c r="AP92" s="46">
        <f t="shared" si="100"/>
        <v>2.9157687336409359</v>
      </c>
      <c r="AQ92" s="46">
        <f t="shared" si="101"/>
        <v>0.94340895411876702</v>
      </c>
      <c r="AR92" s="46">
        <f t="shared" si="102"/>
        <v>2.4997895148220484</v>
      </c>
      <c r="AS92" s="47">
        <f t="shared" si="103"/>
        <v>2.5703625168692512</v>
      </c>
      <c r="AT92" s="63">
        <f t="shared" si="104"/>
        <v>7.0573002047202849E-2</v>
      </c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</row>
    <row r="93" spans="1:116" ht="14.1" customHeight="1" x14ac:dyDescent="0.2">
      <c r="A93" s="74" t="s">
        <v>214</v>
      </c>
      <c r="B93" s="83">
        <v>19.8</v>
      </c>
      <c r="C93" s="89">
        <v>80.7</v>
      </c>
      <c r="D93" s="83">
        <v>59.5</v>
      </c>
      <c r="E93" s="107" t="s">
        <v>255</v>
      </c>
      <c r="F93" s="11"/>
      <c r="G93" s="36"/>
      <c r="H93" s="36"/>
      <c r="I93" s="37"/>
      <c r="J93" s="62"/>
      <c r="K93" s="128"/>
      <c r="L93" s="127"/>
      <c r="N93" s="121">
        <v>25</v>
      </c>
      <c r="P93" s="33"/>
      <c r="Q93" s="33"/>
      <c r="R93" s="45">
        <f t="shared" si="119"/>
        <v>0.35843281570801366</v>
      </c>
      <c r="S93" s="45">
        <f t="shared" si="120"/>
        <v>37.025930282061282</v>
      </c>
      <c r="T93" s="45">
        <f t="shared" si="121"/>
        <v>6.0643161429844072</v>
      </c>
      <c r="U93" s="45">
        <f t="shared" si="122"/>
        <v>39.973241049482091</v>
      </c>
      <c r="V93" s="45">
        <f t="shared" si="123"/>
        <v>2.4241037098378122</v>
      </c>
      <c r="W93" s="45">
        <f t="shared" si="124"/>
        <v>4.851452914387526E-2</v>
      </c>
      <c r="X93" s="45">
        <f t="shared" si="125"/>
        <v>3.3714352260281406</v>
      </c>
      <c r="Y93" s="45">
        <f t="shared" si="118"/>
        <v>50.25</v>
      </c>
      <c r="Z93" s="45"/>
      <c r="AA93" s="45"/>
      <c r="AB93" s="45"/>
      <c r="AC93" s="45">
        <f t="shared" si="89"/>
        <v>0</v>
      </c>
      <c r="AD93" s="45">
        <f t="shared" si="89"/>
        <v>0</v>
      </c>
      <c r="AE93" s="45">
        <f t="shared" si="90"/>
        <v>19.8</v>
      </c>
      <c r="AF93" s="45">
        <f t="shared" si="91"/>
        <v>19.8</v>
      </c>
      <c r="AG93" s="45">
        <f t="shared" si="92"/>
        <v>80.7</v>
      </c>
      <c r="AH93" s="45">
        <f t="shared" si="93"/>
        <v>80.7</v>
      </c>
      <c r="AI93" s="46"/>
      <c r="AJ93" s="46">
        <f t="shared" si="94"/>
        <v>19.8</v>
      </c>
      <c r="AK93" s="46">
        <f t="shared" si="95"/>
        <v>80.7</v>
      </c>
      <c r="AL93" s="46">
        <f t="shared" si="96"/>
        <v>3.6882102564881967</v>
      </c>
      <c r="AM93" s="46">
        <f t="shared" si="97"/>
        <v>42.625271205524257</v>
      </c>
      <c r="AN93" s="46">
        <f t="shared" si="98"/>
        <v>15.782403199096954</v>
      </c>
      <c r="AO93" s="46">
        <f t="shared" si="99"/>
        <v>16.138488969608314</v>
      </c>
      <c r="AP93" s="46">
        <f t="shared" si="100"/>
        <v>3.6854669281378327</v>
      </c>
      <c r="AQ93" s="46">
        <f t="shared" si="101"/>
        <v>0.36600647545788456</v>
      </c>
      <c r="AR93" s="46">
        <f t="shared" si="102"/>
        <v>2.4997895148220484</v>
      </c>
      <c r="AS93" s="47">
        <f t="shared" si="103"/>
        <v>2.6993702146376308</v>
      </c>
      <c r="AT93" s="63">
        <f t="shared" si="104"/>
        <v>0.19958069981558246</v>
      </c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</row>
    <row r="94" spans="1:116" ht="14.1" customHeight="1" x14ac:dyDescent="0.2">
      <c r="A94" s="74" t="s">
        <v>215</v>
      </c>
      <c r="B94" s="83">
        <v>4</v>
      </c>
      <c r="C94" s="89">
        <v>15</v>
      </c>
      <c r="D94" s="83">
        <v>9.5</v>
      </c>
      <c r="E94" s="99" t="s">
        <v>15</v>
      </c>
      <c r="F94" s="11"/>
      <c r="G94" s="36"/>
      <c r="H94" s="36"/>
      <c r="I94" s="37"/>
      <c r="J94" s="62"/>
      <c r="K94" s="128"/>
      <c r="L94" s="127"/>
      <c r="N94" s="121">
        <v>25</v>
      </c>
      <c r="P94" s="33"/>
      <c r="Q94" s="33"/>
      <c r="R94" s="45">
        <f t="shared" si="119"/>
        <v>0.33718261224038765</v>
      </c>
      <c r="S94" s="45">
        <f t="shared" si="120"/>
        <v>34.699728256438931</v>
      </c>
      <c r="T94" s="45">
        <f t="shared" si="121"/>
        <v>5.8693890871571064</v>
      </c>
      <c r="U94" s="45">
        <f t="shared" si="122"/>
        <v>7.745966692414834</v>
      </c>
      <c r="V94" s="45">
        <f t="shared" si="123"/>
        <v>0.4546409237394205</v>
      </c>
      <c r="W94" s="45">
        <f t="shared" si="124"/>
        <v>4.6955112697256843E-2</v>
      </c>
      <c r="X94" s="45">
        <f t="shared" si="125"/>
        <v>0.53700175537182404</v>
      </c>
      <c r="Y94" s="45">
        <f t="shared" si="118"/>
        <v>9.5</v>
      </c>
      <c r="Z94" s="45"/>
      <c r="AA94" s="45"/>
      <c r="AB94" s="45"/>
      <c r="AC94" s="45">
        <f t="shared" si="89"/>
        <v>0</v>
      </c>
      <c r="AD94" s="45">
        <f t="shared" si="89"/>
        <v>0</v>
      </c>
      <c r="AE94" s="45">
        <f t="shared" si="90"/>
        <v>4</v>
      </c>
      <c r="AF94" s="45">
        <f t="shared" si="91"/>
        <v>4</v>
      </c>
      <c r="AG94" s="45">
        <f t="shared" si="92"/>
        <v>15</v>
      </c>
      <c r="AH94" s="45">
        <f t="shared" si="93"/>
        <v>15</v>
      </c>
      <c r="AI94" s="46"/>
      <c r="AJ94" s="46">
        <f t="shared" si="94"/>
        <v>4</v>
      </c>
      <c r="AK94" s="46">
        <f t="shared" si="95"/>
        <v>15</v>
      </c>
      <c r="AL94" s="46">
        <f t="shared" si="96"/>
        <v>2.0471722811110502</v>
      </c>
      <c r="AM94" s="46">
        <f t="shared" si="97"/>
        <v>8.1990503624763917</v>
      </c>
      <c r="AN94" s="46">
        <f t="shared" si="98"/>
        <v>2.845048195387879</v>
      </c>
      <c r="AO94" s="46">
        <f t="shared" si="99"/>
        <v>2.8952841172071953</v>
      </c>
      <c r="AP94" s="46">
        <f t="shared" si="100"/>
        <v>2.0452615992252676</v>
      </c>
      <c r="AQ94" s="46">
        <f t="shared" si="101"/>
        <v>0.34280238880267</v>
      </c>
      <c r="AR94" s="46">
        <f t="shared" si="102"/>
        <v>2.4997895148220373</v>
      </c>
      <c r="AS94" s="47">
        <f t="shared" si="103"/>
        <v>2.6590873979877028</v>
      </c>
      <c r="AT94" s="63">
        <f t="shared" si="104"/>
        <v>0.15929788316566551</v>
      </c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</row>
    <row r="95" spans="1:116" ht="14.1" customHeight="1" x14ac:dyDescent="0.2">
      <c r="A95" s="76" t="s">
        <v>163</v>
      </c>
      <c r="B95" s="86">
        <v>8.3000000000000007</v>
      </c>
      <c r="C95" s="86">
        <v>28.8</v>
      </c>
      <c r="D95" s="83">
        <v>18.55</v>
      </c>
      <c r="E95" s="102" t="s">
        <v>28</v>
      </c>
      <c r="F95" s="11" t="s">
        <v>94</v>
      </c>
      <c r="G95" s="36">
        <f t="shared" ref="G95:G103" si="126">(X95*100)/D95</f>
        <v>5.4943641733057875</v>
      </c>
      <c r="H95" s="36">
        <f t="shared" ref="H95:H103" si="127">G95*2.39</f>
        <v>13.131530374200834</v>
      </c>
      <c r="I95" s="37">
        <f t="shared" ref="I95:I103" si="128">H95*1.96</f>
        <v>25.737799533433634</v>
      </c>
      <c r="J95" s="62">
        <f t="shared" ref="J95:J103" si="129">AT95</f>
        <v>0.16897063748422259</v>
      </c>
      <c r="K95" s="128">
        <v>13</v>
      </c>
      <c r="L95" s="127">
        <v>20.5</v>
      </c>
      <c r="M95" s="121">
        <v>35</v>
      </c>
      <c r="N95" s="121">
        <v>20.5</v>
      </c>
      <c r="O95" s="121">
        <v>35</v>
      </c>
      <c r="P95" s="33">
        <v>26.900000000000002</v>
      </c>
      <c r="Q95" s="33">
        <v>30.7</v>
      </c>
      <c r="R95" s="45">
        <f t="shared" ref="R95:R126" si="130">(LN(C95)-LN(B95))/3.92</f>
        <v>0.31737751845391526</v>
      </c>
      <c r="S95" s="45">
        <f t="shared" ref="S95:S128" si="131">100*(EXP(R95^2)-1)^0.5</f>
        <v>32.554003824737464</v>
      </c>
      <c r="T95" s="45">
        <f t="shared" ref="T95:T127" si="132">(S95-0.25)^0.5</f>
        <v>5.6836611285981382</v>
      </c>
      <c r="U95" s="45">
        <f t="shared" ref="U95:U127" si="133">(B95*C95)^0.5</f>
        <v>15.460918472070151</v>
      </c>
      <c r="V95" s="45">
        <f t="shared" ref="V95:V126" si="134">T95*U95*0.01</f>
        <v>0.87874621332130032</v>
      </c>
      <c r="W95" s="45">
        <f t="shared" ref="W95:W127" si="135">(V95-0.2*V95)/U95</f>
        <v>4.5469289028785102E-2</v>
      </c>
      <c r="X95" s="45">
        <f t="shared" ref="X95:X131" si="136">(D95*W95)+(0.2*V95)</f>
        <v>1.0192045541482238</v>
      </c>
      <c r="Y95" s="45">
        <f t="shared" si="118"/>
        <v>18.55</v>
      </c>
      <c r="Z95" s="45"/>
      <c r="AA95" s="45">
        <f t="shared" ref="AA95:AA103" si="137">(B95*W95)+(0.2*V95)</f>
        <v>0.55314434160317649</v>
      </c>
      <c r="AB95" s="45">
        <f t="shared" ref="AB95:AB103" si="138">(C95*W95)+(0.2*V95)</f>
        <v>1.485264766693271</v>
      </c>
      <c r="AC95" s="45">
        <f t="shared" si="89"/>
        <v>0.71</v>
      </c>
      <c r="AD95" s="45">
        <f t="shared" si="89"/>
        <v>1.9</v>
      </c>
      <c r="AE95" s="45">
        <f t="shared" si="90"/>
        <v>7.5900000000000007</v>
      </c>
      <c r="AF95" s="45">
        <f t="shared" si="91"/>
        <v>9.0100000000000016</v>
      </c>
      <c r="AG95" s="45">
        <f t="shared" si="92"/>
        <v>26.900000000000002</v>
      </c>
      <c r="AH95" s="45">
        <f t="shared" si="93"/>
        <v>30.7</v>
      </c>
      <c r="AI95" s="46"/>
      <c r="AJ95" s="46">
        <f t="shared" si="94"/>
        <v>8.3000000000000007</v>
      </c>
      <c r="AK95" s="46">
        <f t="shared" si="95"/>
        <v>28.8</v>
      </c>
      <c r="AL95" s="46">
        <f t="shared" si="96"/>
        <v>2.7383154509722263</v>
      </c>
      <c r="AM95" s="46">
        <f t="shared" si="97"/>
        <v>16.259538083742186</v>
      </c>
      <c r="AN95" s="46">
        <f t="shared" si="98"/>
        <v>5.2931306496660762</v>
      </c>
      <c r="AO95" s="46">
        <f t="shared" si="99"/>
        <v>5.3903626962970588</v>
      </c>
      <c r="AP95" s="46">
        <f t="shared" si="100"/>
        <v>2.7365422410271676</v>
      </c>
      <c r="AQ95" s="46">
        <f t="shared" si="101"/>
        <v>0.32291625711642657</v>
      </c>
      <c r="AR95" s="46">
        <f t="shared" si="102"/>
        <v>2.4997895148220484</v>
      </c>
      <c r="AS95" s="47">
        <f t="shared" si="103"/>
        <v>2.6687601523062709</v>
      </c>
      <c r="AT95" s="63">
        <f t="shared" si="104"/>
        <v>0.16897063748422259</v>
      </c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1" t="s">
        <v>60</v>
      </c>
      <c r="CH95" s="2">
        <v>24.224350099999999</v>
      </c>
      <c r="CI95" s="21">
        <v>8.8000000000000007</v>
      </c>
      <c r="CJ95" s="21">
        <v>21.3</v>
      </c>
      <c r="CK95" s="2">
        <v>24.224350099999999</v>
      </c>
      <c r="CL95" s="2">
        <v>23.046257799999999</v>
      </c>
      <c r="CM95" s="2"/>
      <c r="CN95" s="2"/>
      <c r="CO95" s="2"/>
      <c r="CP95" s="2"/>
      <c r="CQ95" s="2"/>
      <c r="CR95" s="2"/>
      <c r="CS95" s="2"/>
      <c r="CT95" s="2"/>
      <c r="CU95" s="22"/>
      <c r="CV95" s="21"/>
      <c r="CW95" s="21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</row>
    <row r="96" spans="1:116" ht="14.1" customHeight="1" x14ac:dyDescent="0.2">
      <c r="A96" s="74" t="s">
        <v>61</v>
      </c>
      <c r="B96" s="83">
        <v>8</v>
      </c>
      <c r="C96" s="83">
        <v>20</v>
      </c>
      <c r="D96" s="83">
        <v>14</v>
      </c>
      <c r="E96" s="102" t="s">
        <v>23</v>
      </c>
      <c r="F96" s="13"/>
      <c r="G96" s="36">
        <f t="shared" si="126"/>
        <v>4.7488356684793027</v>
      </c>
      <c r="H96" s="36">
        <f t="shared" si="127"/>
        <v>11.349717247665534</v>
      </c>
      <c r="I96" s="37">
        <f t="shared" si="128"/>
        <v>22.245445805424445</v>
      </c>
      <c r="J96" s="62">
        <f t="shared" si="129"/>
        <v>0.2288554451473912</v>
      </c>
      <c r="K96" s="128">
        <v>8</v>
      </c>
      <c r="L96" s="127">
        <v>13</v>
      </c>
      <c r="M96" s="121">
        <v>24</v>
      </c>
      <c r="N96" s="121">
        <v>13</v>
      </c>
      <c r="O96" s="121">
        <v>24</v>
      </c>
      <c r="P96" s="33">
        <v>18.850000000000001</v>
      </c>
      <c r="Q96" s="33">
        <v>21.15</v>
      </c>
      <c r="R96" s="45">
        <f t="shared" si="130"/>
        <v>0.23374763568218243</v>
      </c>
      <c r="S96" s="45">
        <f t="shared" si="131"/>
        <v>23.697715285232317</v>
      </c>
      <c r="T96" s="45">
        <f t="shared" si="132"/>
        <v>4.8422840979471991</v>
      </c>
      <c r="U96" s="45">
        <f t="shared" si="133"/>
        <v>12.649110640673518</v>
      </c>
      <c r="V96" s="45">
        <f t="shared" si="134"/>
        <v>0.61250587308508087</v>
      </c>
      <c r="W96" s="45">
        <f t="shared" si="135"/>
        <v>3.8738272783577596E-2</v>
      </c>
      <c r="X96" s="45">
        <f t="shared" si="136"/>
        <v>0.66483699358710246</v>
      </c>
      <c r="Y96" s="45">
        <f t="shared" si="118"/>
        <v>14</v>
      </c>
      <c r="Z96" s="45"/>
      <c r="AA96" s="45">
        <f t="shared" si="137"/>
        <v>0.43240735688563692</v>
      </c>
      <c r="AB96" s="45">
        <f t="shared" si="138"/>
        <v>0.89726663028856812</v>
      </c>
      <c r="AC96" s="45">
        <f t="shared" si="89"/>
        <v>0.55000000000000004</v>
      </c>
      <c r="AD96" s="45">
        <f t="shared" si="89"/>
        <v>1.1499999999999999</v>
      </c>
      <c r="AE96" s="45">
        <f t="shared" si="90"/>
        <v>7.45</v>
      </c>
      <c r="AF96" s="45">
        <f t="shared" si="91"/>
        <v>8.5500000000000007</v>
      </c>
      <c r="AG96" s="45">
        <f t="shared" si="92"/>
        <v>18.850000000000001</v>
      </c>
      <c r="AH96" s="45">
        <f t="shared" si="93"/>
        <v>21.15</v>
      </c>
      <c r="AI96" s="46"/>
      <c r="AJ96" s="46">
        <f t="shared" si="94"/>
        <v>8</v>
      </c>
      <c r="AK96" s="46">
        <f t="shared" si="95"/>
        <v>20</v>
      </c>
      <c r="AL96" s="46">
        <f t="shared" si="96"/>
        <v>2.5375869076169133</v>
      </c>
      <c r="AM96" s="46">
        <f t="shared" si="97"/>
        <v>12.999434886018657</v>
      </c>
      <c r="AN96" s="46">
        <f t="shared" si="98"/>
        <v>3.0805690679778652</v>
      </c>
      <c r="AO96" s="46">
        <f t="shared" si="99"/>
        <v>3.151493933140908</v>
      </c>
      <c r="AP96" s="46">
        <f t="shared" si="100"/>
        <v>2.5363501482154009</v>
      </c>
      <c r="AQ96" s="46">
        <f t="shared" si="101"/>
        <v>0.23898007446235955</v>
      </c>
      <c r="AR96" s="46">
        <f t="shared" si="102"/>
        <v>2.4997895148220484</v>
      </c>
      <c r="AS96" s="47">
        <f t="shared" si="103"/>
        <v>2.7286449599694396</v>
      </c>
      <c r="AT96" s="63">
        <f t="shared" si="104"/>
        <v>0.2288554451473912</v>
      </c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</row>
    <row r="97" spans="1:116" ht="14.1" customHeight="1" x14ac:dyDescent="0.2">
      <c r="A97" s="74" t="s">
        <v>68</v>
      </c>
      <c r="B97" s="83">
        <v>147</v>
      </c>
      <c r="C97" s="83">
        <v>336</v>
      </c>
      <c r="D97" s="83">
        <v>241.5</v>
      </c>
      <c r="E97" s="107" t="s">
        <v>160</v>
      </c>
      <c r="F97" s="20" t="s">
        <v>95</v>
      </c>
      <c r="G97" s="36">
        <f t="shared" si="126"/>
        <v>4.5175822044805996</v>
      </c>
      <c r="H97" s="36">
        <f t="shared" si="127"/>
        <v>10.797021468708634</v>
      </c>
      <c r="I97" s="37">
        <f t="shared" si="128"/>
        <v>21.162162078668921</v>
      </c>
      <c r="J97" s="62">
        <f t="shared" si="129"/>
        <v>0.25387003167908206</v>
      </c>
      <c r="K97" s="128">
        <v>6</v>
      </c>
      <c r="L97" s="127">
        <v>8.5</v>
      </c>
      <c r="M97" s="121">
        <v>15</v>
      </c>
      <c r="N97" s="121">
        <v>8.5</v>
      </c>
      <c r="O97" s="121">
        <v>15</v>
      </c>
      <c r="P97" s="33">
        <v>317.58999999999997</v>
      </c>
      <c r="Q97" s="33">
        <v>354.41</v>
      </c>
      <c r="R97" s="45">
        <f t="shared" si="130"/>
        <v>0.21088739111848678</v>
      </c>
      <c r="S97" s="45">
        <f t="shared" si="131"/>
        <v>21.325398601775923</v>
      </c>
      <c r="T97" s="45">
        <f t="shared" si="132"/>
        <v>4.5907949858141048</v>
      </c>
      <c r="U97" s="45">
        <f t="shared" si="133"/>
        <v>222.24311012942562</v>
      </c>
      <c r="V97" s="45">
        <f t="shared" si="134"/>
        <v>10.20272555613899</v>
      </c>
      <c r="W97" s="45">
        <f t="shared" si="135"/>
        <v>3.6726359886512835E-2</v>
      </c>
      <c r="X97" s="45">
        <f t="shared" si="136"/>
        <v>10.909961023820648</v>
      </c>
      <c r="Y97" s="45">
        <f t="shared" si="118"/>
        <v>241.5</v>
      </c>
      <c r="Z97" s="45"/>
      <c r="AA97" s="45">
        <f t="shared" si="137"/>
        <v>7.439320014545185</v>
      </c>
      <c r="AB97" s="45">
        <f t="shared" si="138"/>
        <v>14.38060203309611</v>
      </c>
      <c r="AC97" s="45">
        <f t="shared" si="89"/>
        <v>9.52</v>
      </c>
      <c r="AD97" s="45">
        <f t="shared" si="89"/>
        <v>18.41</v>
      </c>
      <c r="AE97" s="45">
        <f t="shared" si="90"/>
        <v>137.47999999999999</v>
      </c>
      <c r="AF97" s="45">
        <f t="shared" si="91"/>
        <v>156.52000000000001</v>
      </c>
      <c r="AG97" s="45">
        <f t="shared" si="92"/>
        <v>317.58999999999997</v>
      </c>
      <c r="AH97" s="45">
        <f t="shared" si="93"/>
        <v>354.41</v>
      </c>
      <c r="AI97" s="46"/>
      <c r="AJ97" s="46">
        <f t="shared" si="94"/>
        <v>147</v>
      </c>
      <c r="AK97" s="46">
        <f t="shared" si="95"/>
        <v>336</v>
      </c>
      <c r="AL97" s="46">
        <f t="shared" si="96"/>
        <v>5.4037718733709701</v>
      </c>
      <c r="AM97" s="46">
        <f t="shared" si="97"/>
        <v>227.24042983587051</v>
      </c>
      <c r="AN97" s="46">
        <f t="shared" si="98"/>
        <v>48.459927446888322</v>
      </c>
      <c r="AO97" s="46">
        <f t="shared" si="99"/>
        <v>49.672847891971784</v>
      </c>
      <c r="AP97" s="46">
        <f t="shared" si="100"/>
        <v>5.4026707086509207</v>
      </c>
      <c r="AQ97" s="46">
        <f t="shared" si="101"/>
        <v>0.21604587747249249</v>
      </c>
      <c r="AR97" s="46">
        <f t="shared" si="102"/>
        <v>2.4997895148220484</v>
      </c>
      <c r="AS97" s="47">
        <f t="shared" si="103"/>
        <v>2.7536595465011304</v>
      </c>
      <c r="AT97" s="63">
        <f t="shared" si="104"/>
        <v>0.25387003167908206</v>
      </c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</row>
    <row r="98" spans="1:116" ht="14.1" customHeight="1" x14ac:dyDescent="0.2">
      <c r="A98" s="74" t="s">
        <v>69</v>
      </c>
      <c r="B98" s="83">
        <v>70</v>
      </c>
      <c r="C98" s="83">
        <v>130</v>
      </c>
      <c r="D98" s="83">
        <v>100</v>
      </c>
      <c r="E98" s="102" t="s">
        <v>7</v>
      </c>
      <c r="F98" s="13"/>
      <c r="G98" s="36">
        <f t="shared" si="126"/>
        <v>3.9184105402003517</v>
      </c>
      <c r="H98" s="36">
        <f t="shared" si="127"/>
        <v>9.3650011910788411</v>
      </c>
      <c r="I98" s="37">
        <f t="shared" si="128"/>
        <v>18.35540233451453</v>
      </c>
      <c r="J98" s="62">
        <f t="shared" si="129"/>
        <v>0.34064030629378239</v>
      </c>
      <c r="K98" s="128">
        <v>7</v>
      </c>
      <c r="L98" s="127">
        <v>11.5</v>
      </c>
      <c r="M98" s="121">
        <v>23</v>
      </c>
      <c r="N98" s="121">
        <v>11.5</v>
      </c>
      <c r="O98" s="121">
        <v>23</v>
      </c>
      <c r="P98" s="33">
        <v>123.77</v>
      </c>
      <c r="Q98" s="33">
        <v>136.22999999999999</v>
      </c>
      <c r="R98" s="45">
        <f t="shared" si="130"/>
        <v>0.15791816540975073</v>
      </c>
      <c r="S98" s="45">
        <f t="shared" si="131"/>
        <v>15.89078463610057</v>
      </c>
      <c r="T98" s="45">
        <f t="shared" si="132"/>
        <v>3.9548431872958716</v>
      </c>
      <c r="U98" s="45">
        <f t="shared" si="133"/>
        <v>95.393920141694565</v>
      </c>
      <c r="V98" s="45">
        <f t="shared" si="134"/>
        <v>3.7726799518182719</v>
      </c>
      <c r="W98" s="45">
        <f t="shared" si="135"/>
        <v>3.1638745498366976E-2</v>
      </c>
      <c r="X98" s="45">
        <f t="shared" si="136"/>
        <v>3.9184105402003517</v>
      </c>
      <c r="Y98" s="45">
        <f t="shared" si="118"/>
        <v>100</v>
      </c>
      <c r="Z98" s="45"/>
      <c r="AA98" s="45">
        <f t="shared" si="137"/>
        <v>2.9692481752493425</v>
      </c>
      <c r="AB98" s="45">
        <f t="shared" si="138"/>
        <v>4.867572905151361</v>
      </c>
      <c r="AC98" s="45">
        <f t="shared" si="89"/>
        <v>3.8</v>
      </c>
      <c r="AD98" s="45">
        <f t="shared" si="89"/>
        <v>6.23</v>
      </c>
      <c r="AE98" s="45">
        <f t="shared" si="90"/>
        <v>66.2</v>
      </c>
      <c r="AF98" s="45">
        <f t="shared" si="91"/>
        <v>73.8</v>
      </c>
      <c r="AG98" s="45">
        <f t="shared" si="92"/>
        <v>123.77</v>
      </c>
      <c r="AH98" s="45">
        <f t="shared" si="93"/>
        <v>136.22999999999999</v>
      </c>
      <c r="AI98" s="46"/>
      <c r="AJ98" s="46">
        <f t="shared" si="94"/>
        <v>70</v>
      </c>
      <c r="AK98" s="46">
        <f t="shared" si="95"/>
        <v>130</v>
      </c>
      <c r="AL98" s="46">
        <f t="shared" si="96"/>
        <v>4.5580148462524708</v>
      </c>
      <c r="AM98" s="46">
        <f t="shared" si="97"/>
        <v>96.590840679017518</v>
      </c>
      <c r="AN98" s="46">
        <f t="shared" si="98"/>
        <v>15.349042470501693</v>
      </c>
      <c r="AO98" s="46">
        <f t="shared" si="99"/>
        <v>15.84130821374352</v>
      </c>
      <c r="AP98" s="46">
        <f t="shared" si="100"/>
        <v>4.5572129112638038</v>
      </c>
      <c r="AQ98" s="46">
        <f t="shared" si="101"/>
        <v>0.16291720886301356</v>
      </c>
      <c r="AR98" s="46">
        <f t="shared" si="102"/>
        <v>2.4997895148220484</v>
      </c>
      <c r="AS98" s="47">
        <f t="shared" si="103"/>
        <v>2.8404298211158308</v>
      </c>
      <c r="AT98" s="63">
        <f t="shared" si="104"/>
        <v>0.34064030629378239</v>
      </c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</row>
    <row r="99" spans="1:116" ht="14.1" customHeight="1" x14ac:dyDescent="0.2">
      <c r="A99" s="74" t="s">
        <v>219</v>
      </c>
      <c r="B99" s="83">
        <v>77</v>
      </c>
      <c r="C99" s="83">
        <v>142</v>
      </c>
      <c r="D99" s="83">
        <v>109.5</v>
      </c>
      <c r="E99" s="102" t="s">
        <v>28</v>
      </c>
      <c r="F99" s="13"/>
      <c r="G99" s="36">
        <f t="shared" si="126"/>
        <v>3.8962866573666166</v>
      </c>
      <c r="H99" s="36">
        <f t="shared" si="127"/>
        <v>9.312125111106214</v>
      </c>
      <c r="I99" s="37">
        <f t="shared" si="128"/>
        <v>18.251765217768178</v>
      </c>
      <c r="J99" s="62">
        <f t="shared" si="129"/>
        <v>0.34462556827162816</v>
      </c>
      <c r="K99" s="128">
        <v>8</v>
      </c>
      <c r="L99" s="127">
        <v>12.5</v>
      </c>
      <c r="M99" s="121">
        <v>24</v>
      </c>
      <c r="P99" s="33">
        <v>135.22999999999999</v>
      </c>
      <c r="Q99" s="33">
        <v>148.77000000000001</v>
      </c>
      <c r="R99" s="45">
        <f t="shared" si="130"/>
        <v>0.15612796830295325</v>
      </c>
      <c r="S99" s="45">
        <f t="shared" si="131"/>
        <v>15.708425933711412</v>
      </c>
      <c r="T99" s="45">
        <f t="shared" si="132"/>
        <v>3.9317204801093646</v>
      </c>
      <c r="U99" s="45">
        <f t="shared" si="133"/>
        <v>104.56576877735849</v>
      </c>
      <c r="V99" s="45">
        <f t="shared" si="134"/>
        <v>4.1112337462032071</v>
      </c>
      <c r="W99" s="45">
        <f t="shared" si="135"/>
        <v>3.1453763840874921E-2</v>
      </c>
      <c r="X99" s="45">
        <f t="shared" si="136"/>
        <v>4.2664338898164456</v>
      </c>
      <c r="Y99" s="45">
        <f t="shared" si="118"/>
        <v>109.5</v>
      </c>
      <c r="Z99" s="45"/>
      <c r="AA99" s="45">
        <f t="shared" si="137"/>
        <v>3.2441865649880102</v>
      </c>
      <c r="AB99" s="45">
        <f t="shared" si="138"/>
        <v>5.2886812146448809</v>
      </c>
      <c r="AC99" s="45">
        <f t="shared" si="89"/>
        <v>4.1500000000000004</v>
      </c>
      <c r="AD99" s="45">
        <f t="shared" si="89"/>
        <v>6.77</v>
      </c>
      <c r="AE99" s="45">
        <f t="shared" si="90"/>
        <v>72.849999999999994</v>
      </c>
      <c r="AF99" s="45">
        <f t="shared" si="91"/>
        <v>81.150000000000006</v>
      </c>
      <c r="AG99" s="45">
        <f t="shared" si="92"/>
        <v>135.22999999999999</v>
      </c>
      <c r="AH99" s="45">
        <f t="shared" si="93"/>
        <v>148.77000000000001</v>
      </c>
      <c r="AI99" s="46"/>
      <c r="AJ99" s="46">
        <f t="shared" si="94"/>
        <v>77</v>
      </c>
      <c r="AK99" s="46">
        <f t="shared" si="95"/>
        <v>142</v>
      </c>
      <c r="AL99" s="46">
        <f t="shared" si="96"/>
        <v>4.6498162397274729</v>
      </c>
      <c r="AM99" s="46">
        <f t="shared" si="97"/>
        <v>105.84801145598969</v>
      </c>
      <c r="AN99" s="46">
        <f t="shared" si="98"/>
        <v>16.627056481870511</v>
      </c>
      <c r="AO99" s="46">
        <f t="shared" si="99"/>
        <v>17.165706084734367</v>
      </c>
      <c r="AP99" s="46">
        <f t="shared" si="100"/>
        <v>4.6490240955546733</v>
      </c>
      <c r="AQ99" s="46">
        <f t="shared" si="101"/>
        <v>0.16112178881829736</v>
      </c>
      <c r="AR99" s="46">
        <f t="shared" si="102"/>
        <v>2.4997895148220595</v>
      </c>
      <c r="AS99" s="47">
        <f t="shared" si="103"/>
        <v>2.8444150830936876</v>
      </c>
      <c r="AT99" s="63">
        <f t="shared" si="104"/>
        <v>0.34462556827162816</v>
      </c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</row>
    <row r="100" spans="1:116" ht="14.1" customHeight="1" x14ac:dyDescent="0.2">
      <c r="A100" s="77" t="s">
        <v>165</v>
      </c>
      <c r="B100" s="83">
        <v>2</v>
      </c>
      <c r="C100" s="87">
        <v>3.6</v>
      </c>
      <c r="D100" s="83">
        <v>2.8</v>
      </c>
      <c r="E100" s="105" t="s">
        <v>9</v>
      </c>
      <c r="F100" s="17"/>
      <c r="G100" s="36">
        <f t="shared" si="126"/>
        <v>3.8187699875293895</v>
      </c>
      <c r="H100" s="36">
        <f t="shared" si="127"/>
        <v>9.126860270195241</v>
      </c>
      <c r="I100" s="37">
        <f t="shared" si="128"/>
        <v>17.888646129582671</v>
      </c>
      <c r="J100" s="62">
        <f t="shared" si="129"/>
        <v>0.35913217829618427</v>
      </c>
      <c r="K100" s="128"/>
      <c r="L100" s="127">
        <v>8</v>
      </c>
      <c r="M100" s="121">
        <v>12</v>
      </c>
      <c r="N100" s="121">
        <v>8</v>
      </c>
      <c r="O100" s="121">
        <v>12</v>
      </c>
      <c r="P100" s="33">
        <v>3.43</v>
      </c>
      <c r="Q100" s="33">
        <v>3.77</v>
      </c>
      <c r="R100" s="45">
        <f t="shared" si="130"/>
        <v>0.14994557778115281</v>
      </c>
      <c r="S100" s="45">
        <f t="shared" si="131"/>
        <v>15.079237099532856</v>
      </c>
      <c r="T100" s="45">
        <f t="shared" si="132"/>
        <v>3.8508748485938691</v>
      </c>
      <c r="U100" s="45">
        <f t="shared" si="133"/>
        <v>2.6832815729997477</v>
      </c>
      <c r="V100" s="45">
        <f t="shared" si="134"/>
        <v>0.10332981521160121</v>
      </c>
      <c r="W100" s="45">
        <f t="shared" si="135"/>
        <v>3.0806998788750952E-2</v>
      </c>
      <c r="X100" s="45">
        <f t="shared" si="136"/>
        <v>0.1069255596508229</v>
      </c>
      <c r="Y100" s="45">
        <f t="shared" si="118"/>
        <v>2.8</v>
      </c>
      <c r="Z100" s="45"/>
      <c r="AA100" s="45">
        <f t="shared" si="137"/>
        <v>8.2279960619822151E-2</v>
      </c>
      <c r="AB100" s="45">
        <f t="shared" si="138"/>
        <v>0.13157115868182367</v>
      </c>
      <c r="AC100" s="45">
        <f t="shared" si="89"/>
        <v>0.11</v>
      </c>
      <c r="AD100" s="45">
        <f t="shared" si="89"/>
        <v>0.17</v>
      </c>
      <c r="AE100" s="45">
        <f t="shared" si="90"/>
        <v>1.89</v>
      </c>
      <c r="AF100" s="45">
        <f t="shared" si="91"/>
        <v>2.11</v>
      </c>
      <c r="AG100" s="45">
        <f t="shared" si="92"/>
        <v>3.43</v>
      </c>
      <c r="AH100" s="45">
        <f t="shared" si="93"/>
        <v>3.77</v>
      </c>
      <c r="AI100" s="46"/>
      <c r="AJ100" s="46">
        <f t="shared" si="94"/>
        <v>2</v>
      </c>
      <c r="AK100" s="46">
        <f t="shared" si="95"/>
        <v>3.6</v>
      </c>
      <c r="AL100" s="46">
        <f t="shared" si="96"/>
        <v>0.98704051301100471</v>
      </c>
      <c r="AM100" s="46">
        <f t="shared" si="97"/>
        <v>2.7136167824294621</v>
      </c>
      <c r="AN100" s="46">
        <f t="shared" si="98"/>
        <v>0.4091927085952532</v>
      </c>
      <c r="AO100" s="46">
        <f t="shared" si="99"/>
        <v>0.42293232091454241</v>
      </c>
      <c r="AP100" s="46">
        <f t="shared" si="100"/>
        <v>0.98628203664088121</v>
      </c>
      <c r="AQ100" s="46">
        <f t="shared" si="101"/>
        <v>0.15492136404115112</v>
      </c>
      <c r="AR100" s="46">
        <f t="shared" si="102"/>
        <v>2.4997895148220373</v>
      </c>
      <c r="AS100" s="47">
        <f t="shared" si="103"/>
        <v>2.8589216931182215</v>
      </c>
      <c r="AT100" s="63">
        <f t="shared" si="104"/>
        <v>0.35913217829618427</v>
      </c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</row>
    <row r="101" spans="1:116" ht="14.1" customHeight="1" x14ac:dyDescent="0.2">
      <c r="A101" s="74" t="s">
        <v>167</v>
      </c>
      <c r="B101" s="83">
        <v>0.39</v>
      </c>
      <c r="C101" s="87">
        <v>1.4</v>
      </c>
      <c r="D101" s="83">
        <v>0.89500000000000002</v>
      </c>
      <c r="E101" s="105" t="s">
        <v>20</v>
      </c>
      <c r="F101" s="17" t="s">
        <v>83</v>
      </c>
      <c r="G101" s="36">
        <f t="shared" si="126"/>
        <v>5.5643307937371862</v>
      </c>
      <c r="H101" s="36">
        <f t="shared" si="127"/>
        <v>13.298750597031876</v>
      </c>
      <c r="I101" s="37">
        <f t="shared" si="128"/>
        <v>26.065551170182477</v>
      </c>
      <c r="J101" s="62">
        <f t="shared" si="129"/>
        <v>0.16458871494315908</v>
      </c>
      <c r="K101" s="127">
        <v>5</v>
      </c>
      <c r="L101" s="127">
        <v>9</v>
      </c>
      <c r="M101" s="121">
        <v>16</v>
      </c>
      <c r="N101" s="121">
        <v>9</v>
      </c>
      <c r="O101" s="121">
        <v>16</v>
      </c>
      <c r="P101" s="33">
        <v>1.3099999999999998</v>
      </c>
      <c r="Q101" s="33">
        <v>1.49</v>
      </c>
      <c r="R101" s="45">
        <f t="shared" si="130"/>
        <v>0.32604101440807598</v>
      </c>
      <c r="S101" s="45">
        <f t="shared" si="131"/>
        <v>33.490076715038533</v>
      </c>
      <c r="T101" s="45">
        <f t="shared" si="132"/>
        <v>5.7654207751939959</v>
      </c>
      <c r="U101" s="45">
        <f t="shared" si="133"/>
        <v>0.73891812807644663</v>
      </c>
      <c r="V101" s="45">
        <f t="shared" si="134"/>
        <v>4.2601739267794037E-2</v>
      </c>
      <c r="W101" s="45">
        <f t="shared" si="135"/>
        <v>4.6123366201551975E-2</v>
      </c>
      <c r="X101" s="45">
        <f t="shared" si="136"/>
        <v>4.9800760603947822E-2</v>
      </c>
      <c r="Y101" s="45">
        <f t="shared" si="118"/>
        <v>0.89500000000000002</v>
      </c>
      <c r="Z101" s="45"/>
      <c r="AA101" s="45">
        <f t="shared" si="137"/>
        <v>2.6508460672164079E-2</v>
      </c>
      <c r="AB101" s="45">
        <f t="shared" si="138"/>
        <v>7.3093060535731572E-2</v>
      </c>
      <c r="AC101" s="45">
        <f t="shared" si="89"/>
        <v>0.03</v>
      </c>
      <c r="AD101" s="45">
        <f t="shared" si="89"/>
        <v>0.09</v>
      </c>
      <c r="AE101" s="45">
        <f t="shared" si="90"/>
        <v>0.36</v>
      </c>
      <c r="AF101" s="45">
        <f t="shared" si="91"/>
        <v>0.42000000000000004</v>
      </c>
      <c r="AG101" s="45">
        <f t="shared" si="92"/>
        <v>1.3099999999999998</v>
      </c>
      <c r="AH101" s="45">
        <f t="shared" si="93"/>
        <v>1.49</v>
      </c>
      <c r="AI101" s="46"/>
      <c r="AJ101" s="46">
        <f t="shared" si="94"/>
        <v>0.39</v>
      </c>
      <c r="AK101" s="46">
        <f t="shared" si="95"/>
        <v>1.4</v>
      </c>
      <c r="AL101" s="46">
        <f t="shared" si="96"/>
        <v>-0.30256815161861605</v>
      </c>
      <c r="AM101" s="46">
        <f t="shared" si="97"/>
        <v>0.77925512767995464</v>
      </c>
      <c r="AN101" s="46">
        <f t="shared" si="98"/>
        <v>0.26097314006588823</v>
      </c>
      <c r="AO101" s="46">
        <f t="shared" si="99"/>
        <v>0.26568232081299925</v>
      </c>
      <c r="AP101" s="46">
        <f t="shared" si="100"/>
        <v>-0.30440097112004938</v>
      </c>
      <c r="AQ101" s="46">
        <f t="shared" si="101"/>
        <v>0.3316148098006389</v>
      </c>
      <c r="AR101" s="46">
        <f t="shared" si="102"/>
        <v>2.4997895148220373</v>
      </c>
      <c r="AS101" s="47">
        <f t="shared" si="103"/>
        <v>2.6643782297651963</v>
      </c>
      <c r="AT101" s="63">
        <f t="shared" si="104"/>
        <v>0.16458871494315908</v>
      </c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1:116" ht="14.1" customHeight="1" x14ac:dyDescent="0.2">
      <c r="A102" s="74" t="s">
        <v>65</v>
      </c>
      <c r="B102" s="83">
        <v>1.4</v>
      </c>
      <c r="C102" s="83">
        <v>2.8</v>
      </c>
      <c r="D102" s="83">
        <v>2.0999999999999996</v>
      </c>
      <c r="E102" s="102" t="s">
        <v>28</v>
      </c>
      <c r="F102" s="13"/>
      <c r="G102" s="36">
        <f t="shared" si="126"/>
        <v>4.1438839645963323</v>
      </c>
      <c r="H102" s="36">
        <f t="shared" si="127"/>
        <v>9.9038826753852351</v>
      </c>
      <c r="I102" s="37">
        <f t="shared" si="128"/>
        <v>19.411610043755061</v>
      </c>
      <c r="J102" s="62">
        <f t="shared" si="129"/>
        <v>0.30356366866336471</v>
      </c>
      <c r="K102" s="128">
        <v>10</v>
      </c>
      <c r="L102" s="127">
        <v>15</v>
      </c>
      <c r="M102" s="121">
        <v>24</v>
      </c>
      <c r="P102" s="33">
        <v>2.6599999999999997</v>
      </c>
      <c r="Q102" s="33">
        <v>2.94</v>
      </c>
      <c r="R102" s="45">
        <f t="shared" si="130"/>
        <v>0.1768232603469248</v>
      </c>
      <c r="S102" s="45">
        <f t="shared" si="131"/>
        <v>17.821446548069598</v>
      </c>
      <c r="T102" s="45">
        <f t="shared" si="132"/>
        <v>4.1918309302820882</v>
      </c>
      <c r="U102" s="45">
        <f t="shared" si="133"/>
        <v>1.9798989873223329</v>
      </c>
      <c r="V102" s="45">
        <f t="shared" si="134"/>
        <v>8.2994018138919406E-2</v>
      </c>
      <c r="W102" s="45">
        <f t="shared" si="135"/>
        <v>3.3534647442256711E-2</v>
      </c>
      <c r="X102" s="45">
        <f t="shared" si="136"/>
        <v>8.7021563256522966E-2</v>
      </c>
      <c r="Y102" s="45">
        <f t="shared" si="118"/>
        <v>2.0999999999999996</v>
      </c>
      <c r="Z102" s="45"/>
      <c r="AA102" s="45">
        <f t="shared" si="137"/>
        <v>6.3547310046943278E-2</v>
      </c>
      <c r="AB102" s="45">
        <f t="shared" si="138"/>
        <v>0.11049581646610268</v>
      </c>
      <c r="AC102" s="45">
        <f t="shared" si="89"/>
        <v>0.08</v>
      </c>
      <c r="AD102" s="45">
        <f t="shared" si="89"/>
        <v>0.14000000000000001</v>
      </c>
      <c r="AE102" s="45">
        <f t="shared" si="90"/>
        <v>1.3199999999999998</v>
      </c>
      <c r="AF102" s="45">
        <f t="shared" si="91"/>
        <v>1.48</v>
      </c>
      <c r="AG102" s="45">
        <f t="shared" si="92"/>
        <v>2.6599999999999997</v>
      </c>
      <c r="AH102" s="45">
        <f t="shared" si="93"/>
        <v>2.94</v>
      </c>
      <c r="AI102" s="46"/>
      <c r="AJ102" s="46">
        <f t="shared" si="94"/>
        <v>1.4</v>
      </c>
      <c r="AK102" s="46">
        <f t="shared" si="95"/>
        <v>2.8</v>
      </c>
      <c r="AL102" s="46">
        <f t="shared" si="96"/>
        <v>0.68304582690118554</v>
      </c>
      <c r="AM102" s="46">
        <f t="shared" si="97"/>
        <v>2.0110944162743216</v>
      </c>
      <c r="AN102" s="46">
        <f t="shared" si="98"/>
        <v>0.35840611642754056</v>
      </c>
      <c r="AO102" s="46">
        <f t="shared" si="99"/>
        <v>0.3688193280785062</v>
      </c>
      <c r="AP102" s="46">
        <f t="shared" si="100"/>
        <v>0.68213928845374561</v>
      </c>
      <c r="AQ102" s="46">
        <f t="shared" si="101"/>
        <v>0.18187782243747033</v>
      </c>
      <c r="AR102" s="46">
        <f t="shared" si="102"/>
        <v>2.4997895148220484</v>
      </c>
      <c r="AS102" s="47">
        <f t="shared" si="103"/>
        <v>2.8033531834854131</v>
      </c>
      <c r="AT102" s="63">
        <f t="shared" si="104"/>
        <v>0.30356366866336471</v>
      </c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</row>
    <row r="103" spans="1:116" ht="14.1" customHeight="1" x14ac:dyDescent="0.2">
      <c r="A103" s="74" t="s">
        <v>166</v>
      </c>
      <c r="B103" s="83">
        <v>1.38</v>
      </c>
      <c r="C103" s="83">
        <v>9.17</v>
      </c>
      <c r="D103" s="83">
        <v>5.2750000000000004</v>
      </c>
      <c r="E103" s="103" t="s">
        <v>15</v>
      </c>
      <c r="F103" s="13" t="s">
        <v>67</v>
      </c>
      <c r="G103" s="36">
        <f t="shared" si="126"/>
        <v>6.6778998140308623</v>
      </c>
      <c r="H103" s="36">
        <f t="shared" si="127"/>
        <v>15.960180555533762</v>
      </c>
      <c r="I103" s="37">
        <f t="shared" si="128"/>
        <v>31.281953888846175</v>
      </c>
      <c r="J103" s="62">
        <f t="shared" si="129"/>
        <v>0.11298281298659507</v>
      </c>
      <c r="K103" s="127"/>
      <c r="L103" s="133">
        <v>16</v>
      </c>
      <c r="M103" s="121">
        <v>33</v>
      </c>
      <c r="P103" s="33">
        <v>8.43</v>
      </c>
      <c r="Q103" s="33">
        <v>9.91</v>
      </c>
      <c r="R103" s="45">
        <f t="shared" si="130"/>
        <v>0.48312596609675001</v>
      </c>
      <c r="S103" s="45">
        <f t="shared" si="131"/>
        <v>51.273779338559542</v>
      </c>
      <c r="T103" s="45">
        <f t="shared" si="132"/>
        <v>7.1430931212297342</v>
      </c>
      <c r="U103" s="45">
        <f t="shared" si="133"/>
        <v>3.5573304597689539</v>
      </c>
      <c r="V103" s="45">
        <f t="shared" si="134"/>
        <v>0.2541034273711662</v>
      </c>
      <c r="W103" s="45">
        <f t="shared" si="135"/>
        <v>5.7144744969837867E-2</v>
      </c>
      <c r="X103" s="45">
        <f t="shared" si="136"/>
        <v>0.35225921519012798</v>
      </c>
      <c r="Y103" s="45">
        <f t="shared" si="118"/>
        <v>5.2750000000000004</v>
      </c>
      <c r="Z103" s="45"/>
      <c r="AA103" s="45">
        <f t="shared" si="137"/>
        <v>0.1296804335326095</v>
      </c>
      <c r="AB103" s="45">
        <f t="shared" si="138"/>
        <v>0.57483799684764647</v>
      </c>
      <c r="AC103" s="45">
        <f t="shared" si="89"/>
        <v>0.17</v>
      </c>
      <c r="AD103" s="45">
        <f t="shared" si="89"/>
        <v>0.74</v>
      </c>
      <c r="AE103" s="45">
        <f t="shared" si="90"/>
        <v>1.21</v>
      </c>
      <c r="AF103" s="45">
        <f t="shared" si="91"/>
        <v>1.5499999999999998</v>
      </c>
      <c r="AG103" s="45">
        <f t="shared" si="92"/>
        <v>8.43</v>
      </c>
      <c r="AH103" s="45">
        <f t="shared" si="93"/>
        <v>9.91</v>
      </c>
      <c r="AI103" s="46"/>
      <c r="AJ103" s="46">
        <f t="shared" si="94"/>
        <v>1.38</v>
      </c>
      <c r="AK103" s="46">
        <f t="shared" si="95"/>
        <v>9.17</v>
      </c>
      <c r="AL103" s="46">
        <f t="shared" si="96"/>
        <v>1.2690103927187433</v>
      </c>
      <c r="AM103" s="46">
        <f t="shared" si="97"/>
        <v>3.9976861940996482</v>
      </c>
      <c r="AN103" s="46">
        <f t="shared" si="98"/>
        <v>2.0497647978107127</v>
      </c>
      <c r="AO103" s="46">
        <f t="shared" si="99"/>
        <v>2.0798130399221839</v>
      </c>
      <c r="AP103" s="46">
        <f t="shared" si="100"/>
        <v>1.2659457720681562</v>
      </c>
      <c r="AQ103" s="46">
        <f t="shared" si="101"/>
        <v>0.48942817697604252</v>
      </c>
      <c r="AR103" s="46">
        <f t="shared" si="102"/>
        <v>2.4997895148220484</v>
      </c>
      <c r="AS103" s="47">
        <f t="shared" si="103"/>
        <v>2.6127723278086434</v>
      </c>
      <c r="AT103" s="63">
        <f t="shared" si="104"/>
        <v>0.11298281298659507</v>
      </c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1:116" ht="14.1" customHeight="1" x14ac:dyDescent="0.2">
      <c r="A104" s="74" t="s">
        <v>216</v>
      </c>
      <c r="B104" s="84" t="s">
        <v>235</v>
      </c>
      <c r="C104" s="89"/>
      <c r="D104" s="83"/>
      <c r="E104" s="99" t="s">
        <v>224</v>
      </c>
      <c r="F104" s="11"/>
      <c r="G104" s="36"/>
      <c r="H104" s="36"/>
      <c r="I104" s="37"/>
      <c r="J104" s="62"/>
      <c r="K104" s="128"/>
      <c r="L104" s="127"/>
      <c r="N104" s="121">
        <v>20</v>
      </c>
      <c r="O104" s="121">
        <v>33</v>
      </c>
      <c r="P104" s="33"/>
      <c r="Q104" s="33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7"/>
      <c r="AT104" s="63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</row>
    <row r="105" spans="1:116" ht="14.1" customHeight="1" x14ac:dyDescent="0.2">
      <c r="A105" s="74" t="s">
        <v>164</v>
      </c>
      <c r="B105" s="83">
        <v>0.5</v>
      </c>
      <c r="C105" s="87">
        <v>2.5</v>
      </c>
      <c r="D105" s="83">
        <v>1.5</v>
      </c>
      <c r="E105" s="105" t="s">
        <v>64</v>
      </c>
      <c r="F105" s="17"/>
      <c r="G105" s="36">
        <f>(X105*100)/D105</f>
        <v>6.194436596180755</v>
      </c>
      <c r="H105" s="36">
        <f>G105*2.39</f>
        <v>14.804703464872006</v>
      </c>
      <c r="I105" s="37">
        <f>H105*1.96</f>
        <v>29.01721879114913</v>
      </c>
      <c r="J105" s="62">
        <f>AT105</f>
        <v>0.13184260349775601</v>
      </c>
      <c r="K105" s="127">
        <v>9</v>
      </c>
      <c r="L105" s="127">
        <v>13.5</v>
      </c>
      <c r="M105" s="121">
        <v>24</v>
      </c>
      <c r="N105" s="121">
        <v>13.5</v>
      </c>
      <c r="O105" s="121">
        <v>24</v>
      </c>
      <c r="P105" s="33">
        <v>2.31</v>
      </c>
      <c r="Q105" s="33">
        <v>2.69</v>
      </c>
      <c r="R105" s="45">
        <f t="shared" si="130"/>
        <v>0.41057089602910729</v>
      </c>
      <c r="S105" s="45">
        <f t="shared" si="131"/>
        <v>42.849650494403001</v>
      </c>
      <c r="T105" s="45">
        <f t="shared" si="132"/>
        <v>6.5268407744024977</v>
      </c>
      <c r="U105" s="45">
        <f t="shared" si="133"/>
        <v>1.1180339887498949</v>
      </c>
      <c r="V105" s="45">
        <f t="shared" si="134"/>
        <v>7.2972298249406778E-2</v>
      </c>
      <c r="W105" s="45">
        <f t="shared" si="135"/>
        <v>5.2214726195219982E-2</v>
      </c>
      <c r="X105" s="45">
        <f t="shared" si="136"/>
        <v>9.2916548942711327E-2</v>
      </c>
      <c r="Y105" s="45">
        <f t="shared" si="118"/>
        <v>1.5</v>
      </c>
      <c r="Z105" s="45"/>
      <c r="AA105" s="45">
        <f>(B105*W105)+(0.2*V105)</f>
        <v>4.0701822747491345E-2</v>
      </c>
      <c r="AB105" s="45">
        <f>(C105*W105)+(0.2*V105)</f>
        <v>0.14513127513793131</v>
      </c>
      <c r="AC105" s="45">
        <f t="shared" si="89"/>
        <v>0.05</v>
      </c>
      <c r="AD105" s="45">
        <f t="shared" si="89"/>
        <v>0.19</v>
      </c>
      <c r="AE105" s="45">
        <f t="shared" si="90"/>
        <v>0.45</v>
      </c>
      <c r="AF105" s="45">
        <f t="shared" si="91"/>
        <v>0.55000000000000004</v>
      </c>
      <c r="AG105" s="45">
        <f t="shared" si="92"/>
        <v>2.31</v>
      </c>
      <c r="AH105" s="45">
        <f t="shared" si="93"/>
        <v>2.69</v>
      </c>
      <c r="AI105" s="46"/>
      <c r="AJ105" s="46">
        <f t="shared" si="94"/>
        <v>0.5</v>
      </c>
      <c r="AK105" s="46">
        <f t="shared" si="95"/>
        <v>2.5</v>
      </c>
      <c r="AL105" s="46">
        <f t="shared" si="96"/>
        <v>0.11157177565710491</v>
      </c>
      <c r="AM105" s="46">
        <f t="shared" si="97"/>
        <v>1.2163517453584558</v>
      </c>
      <c r="AN105" s="46">
        <f t="shared" si="98"/>
        <v>0.52120247166866907</v>
      </c>
      <c r="AO105" s="46">
        <f t="shared" si="99"/>
        <v>0.52941996707807781</v>
      </c>
      <c r="AP105" s="46">
        <f t="shared" si="100"/>
        <v>0.10911276135373758</v>
      </c>
      <c r="AQ105" s="46">
        <f t="shared" si="101"/>
        <v>0.4165170936142702</v>
      </c>
      <c r="AR105" s="46">
        <f t="shared" si="102"/>
        <v>2.4997895148220484</v>
      </c>
      <c r="AS105" s="47">
        <f t="shared" si="103"/>
        <v>2.6316321183198044</v>
      </c>
      <c r="AT105" s="63">
        <f t="shared" si="104"/>
        <v>0.13184260349775601</v>
      </c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1:116" ht="14.1" customHeight="1" x14ac:dyDescent="0.2">
      <c r="A106" s="74" t="s">
        <v>220</v>
      </c>
      <c r="B106" s="83">
        <v>50</v>
      </c>
      <c r="C106" s="83">
        <v>100</v>
      </c>
      <c r="D106" s="83">
        <v>75</v>
      </c>
      <c r="E106" s="102" t="s">
        <v>23</v>
      </c>
      <c r="F106" s="13"/>
      <c r="G106" s="36">
        <f>(X106*100)/D106</f>
        <v>4.1438839645963395</v>
      </c>
      <c r="H106" s="36">
        <f>G106*2.39</f>
        <v>9.9038826753852511</v>
      </c>
      <c r="I106" s="37">
        <f>H106*1.96</f>
        <v>19.411610043755093</v>
      </c>
      <c r="J106" s="62">
        <f>AT106</f>
        <v>0.30356366866340911</v>
      </c>
      <c r="K106" s="128">
        <v>8</v>
      </c>
      <c r="L106" s="127">
        <v>11.5</v>
      </c>
      <c r="M106" s="121">
        <v>20</v>
      </c>
      <c r="N106" s="121">
        <v>11.5</v>
      </c>
      <c r="O106" s="121">
        <v>20</v>
      </c>
      <c r="P106" s="33">
        <v>94.95</v>
      </c>
      <c r="Q106" s="33">
        <v>105.05</v>
      </c>
      <c r="R106" s="45">
        <f t="shared" si="130"/>
        <v>0.17682326034692497</v>
      </c>
      <c r="S106" s="45">
        <f t="shared" si="131"/>
        <v>17.821446548069662</v>
      </c>
      <c r="T106" s="45">
        <f t="shared" si="132"/>
        <v>4.1918309302820962</v>
      </c>
      <c r="U106" s="45">
        <f t="shared" si="133"/>
        <v>70.710678118654755</v>
      </c>
      <c r="V106" s="45">
        <f t="shared" si="134"/>
        <v>2.9640720763899844</v>
      </c>
      <c r="W106" s="45">
        <f t="shared" si="135"/>
        <v>3.3534647442256767E-2</v>
      </c>
      <c r="X106" s="45">
        <f t="shared" si="136"/>
        <v>3.1079129734472546</v>
      </c>
      <c r="Y106" s="45">
        <f t="shared" si="118"/>
        <v>75</v>
      </c>
      <c r="Z106" s="45"/>
      <c r="AA106" s="45">
        <f>(B106*W106)+(0.2*V106)</f>
        <v>2.2695467873908353</v>
      </c>
      <c r="AB106" s="45">
        <f>(C106*W106)+(0.2*V106)</f>
        <v>3.9462791595036739</v>
      </c>
      <c r="AC106" s="45">
        <f t="shared" si="89"/>
        <v>2.91</v>
      </c>
      <c r="AD106" s="45">
        <f t="shared" si="89"/>
        <v>5.05</v>
      </c>
      <c r="AE106" s="45">
        <f t="shared" si="90"/>
        <v>47.09</v>
      </c>
      <c r="AF106" s="45">
        <f t="shared" si="91"/>
        <v>52.91</v>
      </c>
      <c r="AG106" s="45">
        <f t="shared" si="92"/>
        <v>94.95</v>
      </c>
      <c r="AH106" s="45">
        <f t="shared" si="93"/>
        <v>105.05</v>
      </c>
      <c r="AI106" s="46"/>
      <c r="AJ106" s="46">
        <f t="shared" si="94"/>
        <v>50</v>
      </c>
      <c r="AK106" s="46">
        <f t="shared" si="95"/>
        <v>100</v>
      </c>
      <c r="AL106" s="46">
        <f t="shared" si="96"/>
        <v>4.2585965957081191</v>
      </c>
      <c r="AM106" s="46">
        <f t="shared" si="97"/>
        <v>71.824800581225787</v>
      </c>
      <c r="AN106" s="46">
        <f t="shared" si="98"/>
        <v>12.800218443840782</v>
      </c>
      <c r="AO106" s="46">
        <f t="shared" si="99"/>
        <v>13.172118859946696</v>
      </c>
      <c r="AP106" s="46">
        <f t="shared" si="100"/>
        <v>4.2576900572606791</v>
      </c>
      <c r="AQ106" s="46">
        <f t="shared" si="101"/>
        <v>0.18187782243747094</v>
      </c>
      <c r="AR106" s="46">
        <f t="shared" si="102"/>
        <v>2.4997895148220484</v>
      </c>
      <c r="AS106" s="47">
        <f t="shared" si="103"/>
        <v>2.8033531834854575</v>
      </c>
      <c r="AT106" s="63">
        <f t="shared" si="104"/>
        <v>0.30356366866340911</v>
      </c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</row>
    <row r="107" spans="1:116" ht="14.1" customHeight="1" x14ac:dyDescent="0.2">
      <c r="A107" s="74" t="s">
        <v>71</v>
      </c>
      <c r="B107" s="83">
        <v>20</v>
      </c>
      <c r="C107" s="89">
        <v>40</v>
      </c>
      <c r="D107" s="83">
        <v>30</v>
      </c>
      <c r="E107" s="99" t="s">
        <v>23</v>
      </c>
      <c r="F107" s="11"/>
      <c r="G107" s="36">
        <f>(X107*100)/D107</f>
        <v>4.1438839645963395</v>
      </c>
      <c r="H107" s="36">
        <f>G107*2.39</f>
        <v>9.9038826753852511</v>
      </c>
      <c r="I107" s="37">
        <f>H107*1.96</f>
        <v>19.411610043755093</v>
      </c>
      <c r="J107" s="62">
        <f>AT107</f>
        <v>0.30356366866340911</v>
      </c>
      <c r="K107" s="128"/>
      <c r="L107" s="127">
        <v>12</v>
      </c>
      <c r="M107" s="121">
        <v>18</v>
      </c>
      <c r="N107" s="121">
        <v>12</v>
      </c>
      <c r="O107" s="121">
        <v>18</v>
      </c>
      <c r="P107" s="33">
        <v>37.979999999999997</v>
      </c>
      <c r="Q107" s="33">
        <v>42.02</v>
      </c>
      <c r="R107" s="45">
        <f t="shared" si="130"/>
        <v>0.17682326034692486</v>
      </c>
      <c r="S107" s="45">
        <f t="shared" si="131"/>
        <v>17.821446548069662</v>
      </c>
      <c r="T107" s="45">
        <f t="shared" si="132"/>
        <v>4.1918309302820962</v>
      </c>
      <c r="U107" s="45">
        <f t="shared" si="133"/>
        <v>28.284271247461902</v>
      </c>
      <c r="V107" s="45">
        <f t="shared" si="134"/>
        <v>1.1856288305559937</v>
      </c>
      <c r="W107" s="45">
        <f t="shared" si="135"/>
        <v>3.3534647442256767E-2</v>
      </c>
      <c r="X107" s="45">
        <f t="shared" si="136"/>
        <v>1.2431651893789017</v>
      </c>
      <c r="Y107" s="45">
        <f t="shared" si="118"/>
        <v>30</v>
      </c>
      <c r="Z107" s="45"/>
      <c r="AA107" s="45">
        <f>(B107*W107)+(0.2*V107)</f>
        <v>0.90781871495633404</v>
      </c>
      <c r="AB107" s="45">
        <f>(C107*W107)+(0.2*V107)</f>
        <v>1.5785116638014693</v>
      </c>
      <c r="AC107" s="45">
        <f t="shared" si="89"/>
        <v>1.1599999999999999</v>
      </c>
      <c r="AD107" s="45">
        <f t="shared" si="89"/>
        <v>2.02</v>
      </c>
      <c r="AE107" s="45">
        <f t="shared" si="90"/>
        <v>18.84</v>
      </c>
      <c r="AF107" s="45">
        <f t="shared" si="91"/>
        <v>21.16</v>
      </c>
      <c r="AG107" s="45">
        <f t="shared" si="92"/>
        <v>37.979999999999997</v>
      </c>
      <c r="AH107" s="45">
        <f t="shared" si="93"/>
        <v>42.02</v>
      </c>
      <c r="AI107" s="46"/>
      <c r="AJ107" s="46">
        <f t="shared" si="94"/>
        <v>20</v>
      </c>
      <c r="AK107" s="46">
        <f t="shared" si="95"/>
        <v>40</v>
      </c>
      <c r="AL107" s="46">
        <f t="shared" si="96"/>
        <v>3.3423058638339636</v>
      </c>
      <c r="AM107" s="46">
        <f t="shared" si="97"/>
        <v>28.729920232490311</v>
      </c>
      <c r="AN107" s="46">
        <f t="shared" si="98"/>
        <v>5.1200873775363123</v>
      </c>
      <c r="AO107" s="46">
        <f t="shared" si="99"/>
        <v>5.2688475439786782</v>
      </c>
      <c r="AP107" s="46">
        <f t="shared" si="100"/>
        <v>3.3413993253865235</v>
      </c>
      <c r="AQ107" s="46">
        <f t="shared" si="101"/>
        <v>0.18187782243747094</v>
      </c>
      <c r="AR107" s="46">
        <f t="shared" si="102"/>
        <v>2.4997895148220484</v>
      </c>
      <c r="AS107" s="47">
        <f t="shared" si="103"/>
        <v>2.8033531834854575</v>
      </c>
      <c r="AT107" s="63">
        <f t="shared" si="104"/>
        <v>0.30356366866340911</v>
      </c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</row>
    <row r="108" spans="1:116" ht="14.1" customHeight="1" x14ac:dyDescent="0.2">
      <c r="A108" s="74" t="s">
        <v>217</v>
      </c>
      <c r="B108" s="83">
        <v>211</v>
      </c>
      <c r="C108" s="89">
        <v>911</v>
      </c>
      <c r="D108" s="83">
        <v>561</v>
      </c>
      <c r="E108" s="99" t="s">
        <v>232</v>
      </c>
      <c r="F108" s="11"/>
      <c r="G108" s="36"/>
      <c r="H108" s="36"/>
      <c r="I108" s="37"/>
      <c r="J108" s="62"/>
      <c r="K108" s="128"/>
      <c r="L108" s="127"/>
      <c r="N108" s="121">
        <v>25</v>
      </c>
      <c r="P108" s="33"/>
      <c r="Q108" s="33"/>
      <c r="R108" s="45">
        <f t="shared" si="130"/>
        <v>0.37313386831221723</v>
      </c>
      <c r="S108" s="45">
        <f t="shared" si="131"/>
        <v>38.650633353229516</v>
      </c>
      <c r="T108" s="45">
        <f t="shared" si="132"/>
        <v>6.196824457190111</v>
      </c>
      <c r="U108" s="45">
        <f t="shared" si="133"/>
        <v>438.43015407245883</v>
      </c>
      <c r="V108" s="45">
        <f t="shared" si="134"/>
        <v>27.168747015258415</v>
      </c>
      <c r="W108" s="45">
        <f t="shared" si="135"/>
        <v>4.9574595657520891E-2</v>
      </c>
      <c r="X108" s="45">
        <f t="shared" si="136"/>
        <v>33.245097566920904</v>
      </c>
      <c r="Y108" s="45">
        <f t="shared" si="118"/>
        <v>561</v>
      </c>
      <c r="Z108" s="45"/>
      <c r="AA108" s="45"/>
      <c r="AB108" s="45"/>
      <c r="AC108" s="45">
        <f t="shared" si="89"/>
        <v>0</v>
      </c>
      <c r="AD108" s="45">
        <f t="shared" si="89"/>
        <v>0</v>
      </c>
      <c r="AE108" s="45">
        <f t="shared" si="90"/>
        <v>211</v>
      </c>
      <c r="AF108" s="45">
        <f t="shared" si="91"/>
        <v>211</v>
      </c>
      <c r="AG108" s="45">
        <f t="shared" si="92"/>
        <v>911</v>
      </c>
      <c r="AH108" s="45">
        <f t="shared" si="93"/>
        <v>911</v>
      </c>
      <c r="AI108" s="46"/>
      <c r="AJ108" s="46">
        <f t="shared" si="94"/>
        <v>211</v>
      </c>
      <c r="AK108" s="46">
        <f t="shared" si="95"/>
        <v>911</v>
      </c>
      <c r="AL108" s="46">
        <f t="shared" si="96"/>
        <v>6.0832005153680129</v>
      </c>
      <c r="AM108" s="46">
        <f t="shared" si="97"/>
        <v>470.03866496753898</v>
      </c>
      <c r="AN108" s="46">
        <f t="shared" si="98"/>
        <v>181.67292101501835</v>
      </c>
      <c r="AO108" s="46">
        <f t="shared" si="99"/>
        <v>184.68970394248618</v>
      </c>
      <c r="AP108" s="46">
        <f t="shared" si="100"/>
        <v>6.0810290728507175</v>
      </c>
      <c r="AQ108" s="46">
        <f t="shared" si="101"/>
        <v>0.37890865484471381</v>
      </c>
      <c r="AR108" s="46">
        <f t="shared" si="102"/>
        <v>2.4997895148220484</v>
      </c>
      <c r="AS108" s="47">
        <f t="shared" si="103"/>
        <v>2.6442470910290172</v>
      </c>
      <c r="AT108" s="63">
        <f t="shared" si="104"/>
        <v>0.14445757620696886</v>
      </c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</row>
    <row r="109" spans="1:116" x14ac:dyDescent="0.2">
      <c r="B109" s="89"/>
      <c r="C109" s="89"/>
      <c r="D109" s="83"/>
      <c r="F109" s="6"/>
      <c r="G109" s="36"/>
      <c r="H109" s="36"/>
      <c r="I109" s="37"/>
      <c r="J109" s="62"/>
      <c r="K109" s="128"/>
      <c r="P109" s="33"/>
      <c r="Q109" s="33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7"/>
      <c r="AT109" s="63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</row>
    <row r="110" spans="1:116" s="1" customFormat="1" x14ac:dyDescent="0.2">
      <c r="A110" s="74" t="s">
        <v>72</v>
      </c>
      <c r="B110" s="90"/>
      <c r="C110" s="90"/>
      <c r="D110" s="83"/>
      <c r="E110" s="99"/>
      <c r="F110" s="7"/>
      <c r="G110" s="36"/>
      <c r="H110" s="36"/>
      <c r="I110" s="37"/>
      <c r="J110" s="62"/>
      <c r="K110" s="125"/>
      <c r="L110" s="121"/>
      <c r="M110" s="121"/>
      <c r="N110" s="121"/>
      <c r="O110" s="121"/>
      <c r="P110" s="33"/>
      <c r="Q110" s="33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7"/>
      <c r="AT110" s="63"/>
    </row>
    <row r="111" spans="1:116" x14ac:dyDescent="0.2">
      <c r="A111" s="76" t="s">
        <v>8</v>
      </c>
      <c r="B111" s="91">
        <v>3</v>
      </c>
      <c r="C111" s="86">
        <v>20</v>
      </c>
      <c r="D111" s="83">
        <v>11.5</v>
      </c>
      <c r="E111" s="99" t="s">
        <v>23</v>
      </c>
      <c r="F111" s="11"/>
      <c r="G111" s="36">
        <f>(X111*100)/D111</f>
        <v>6.6832240813543349</v>
      </c>
      <c r="H111" s="36">
        <f>G111*2.39</f>
        <v>15.972905554436862</v>
      </c>
      <c r="I111" s="37">
        <f>H111*1.96</f>
        <v>31.306894886696249</v>
      </c>
      <c r="J111" s="62">
        <f>AT111</f>
        <v>0.11279826455553588</v>
      </c>
      <c r="K111" s="129">
        <v>8</v>
      </c>
      <c r="L111" s="121">
        <v>15</v>
      </c>
      <c r="M111" s="121">
        <v>26</v>
      </c>
      <c r="N111" s="121">
        <v>15</v>
      </c>
      <c r="O111" s="121">
        <v>26</v>
      </c>
      <c r="P111" s="33">
        <v>18.39</v>
      </c>
      <c r="Q111" s="33">
        <v>21.61</v>
      </c>
      <c r="R111" s="45">
        <f t="shared" si="130"/>
        <v>0.48395917981782682</v>
      </c>
      <c r="S111" s="45">
        <f t="shared" si="131"/>
        <v>51.372958387566328</v>
      </c>
      <c r="T111" s="45">
        <f t="shared" si="132"/>
        <v>7.1500320550027139</v>
      </c>
      <c r="U111" s="45">
        <f t="shared" si="133"/>
        <v>7.745966692414834</v>
      </c>
      <c r="V111" s="45">
        <f t="shared" si="134"/>
        <v>0.55383910147749416</v>
      </c>
      <c r="W111" s="45">
        <f t="shared" si="135"/>
        <v>5.7200256440021718E-2</v>
      </c>
      <c r="X111" s="45">
        <f t="shared" si="136"/>
        <v>0.76857076935574853</v>
      </c>
      <c r="Y111" s="45">
        <f t="shared" si="118"/>
        <v>11.5</v>
      </c>
      <c r="Z111" s="45"/>
      <c r="AA111" s="45">
        <f>(B111*W111)+(0.2*V111)</f>
        <v>0.28236858961556399</v>
      </c>
      <c r="AB111" s="45">
        <f>(C111*W111)+(0.2*V111)</f>
        <v>1.2547729490959332</v>
      </c>
      <c r="AC111" s="45">
        <f t="shared" si="89"/>
        <v>0.36</v>
      </c>
      <c r="AD111" s="45">
        <f t="shared" si="89"/>
        <v>1.61</v>
      </c>
      <c r="AE111" s="45">
        <f t="shared" si="90"/>
        <v>2.64</v>
      </c>
      <c r="AF111" s="45">
        <f t="shared" si="91"/>
        <v>3.36</v>
      </c>
      <c r="AG111" s="45">
        <f t="shared" si="92"/>
        <v>18.39</v>
      </c>
      <c r="AH111" s="45">
        <f t="shared" si="93"/>
        <v>21.61</v>
      </c>
      <c r="AI111" s="46"/>
      <c r="AJ111" s="46">
        <f t="shared" si="94"/>
        <v>3</v>
      </c>
      <c r="AK111" s="46">
        <f t="shared" si="95"/>
        <v>20</v>
      </c>
      <c r="AL111" s="46">
        <f t="shared" si="96"/>
        <v>2.0471722811110502</v>
      </c>
      <c r="AM111" s="46">
        <f t="shared" si="97"/>
        <v>8.7083342334193681</v>
      </c>
      <c r="AN111" s="46">
        <f t="shared" si="98"/>
        <v>4.4737289219847245</v>
      </c>
      <c r="AO111" s="46">
        <f t="shared" si="99"/>
        <v>4.5392677267275934</v>
      </c>
      <c r="AP111" s="46">
        <f t="shared" si="100"/>
        <v>2.0441003334581085</v>
      </c>
      <c r="AQ111" s="46">
        <f t="shared" si="101"/>
        <v>0.49026562497877335</v>
      </c>
      <c r="AR111" s="46">
        <f t="shared" si="102"/>
        <v>2.4997895148220373</v>
      </c>
      <c r="AS111" s="47">
        <f t="shared" si="103"/>
        <v>2.6125877793775731</v>
      </c>
      <c r="AT111" s="63">
        <f t="shared" si="104"/>
        <v>0.11279826455553588</v>
      </c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</row>
    <row r="112" spans="1:116" x14ac:dyDescent="0.2">
      <c r="A112" s="76" t="s">
        <v>19</v>
      </c>
      <c r="B112" s="92">
        <v>1</v>
      </c>
      <c r="C112" s="86">
        <v>6.2</v>
      </c>
      <c r="D112" s="83">
        <v>3.6</v>
      </c>
      <c r="E112" s="99" t="s">
        <v>20</v>
      </c>
      <c r="F112" s="11" t="s">
        <v>83</v>
      </c>
      <c r="G112" s="36">
        <f>(X112*100)/D112</f>
        <v>6.5638364689066675</v>
      </c>
      <c r="H112" s="36">
        <f>G112*2.39</f>
        <v>15.687569160686936</v>
      </c>
      <c r="I112" s="37">
        <f>H112*1.96</f>
        <v>30.747635554946392</v>
      </c>
      <c r="J112" s="62">
        <f>AT112</f>
        <v>0.11704723396178673</v>
      </c>
      <c r="K112" s="138">
        <v>5</v>
      </c>
      <c r="L112" s="121">
        <v>8.5</v>
      </c>
      <c r="M112" s="121">
        <v>17</v>
      </c>
      <c r="N112" s="121">
        <v>8.5</v>
      </c>
      <c r="O112" s="121">
        <v>17</v>
      </c>
      <c r="P112" s="33">
        <v>5.71</v>
      </c>
      <c r="Q112" s="33">
        <v>6.69</v>
      </c>
      <c r="R112" s="45">
        <f t="shared" si="130"/>
        <v>0.46544624797220563</v>
      </c>
      <c r="S112" s="45">
        <f t="shared" si="131"/>
        <v>49.183045782554622</v>
      </c>
      <c r="T112" s="45">
        <f t="shared" si="132"/>
        <v>6.9952159210816802</v>
      </c>
      <c r="U112" s="45">
        <f t="shared" si="133"/>
        <v>2.4899799195977463</v>
      </c>
      <c r="V112" s="45">
        <f t="shared" si="134"/>
        <v>0.17417947176743837</v>
      </c>
      <c r="W112" s="45">
        <f t="shared" si="135"/>
        <v>5.5961727368653444E-2</v>
      </c>
      <c r="X112" s="45">
        <f t="shared" si="136"/>
        <v>0.23629811288064007</v>
      </c>
      <c r="Y112" s="45">
        <f t="shared" si="118"/>
        <v>3.6</v>
      </c>
      <c r="Z112" s="45"/>
      <c r="AA112" s="45">
        <f>(B112*W112)+(0.2*V112)</f>
        <v>9.079762172214112E-2</v>
      </c>
      <c r="AB112" s="45">
        <f>(C112*W112)+(0.2*V112)</f>
        <v>0.38179860403913901</v>
      </c>
      <c r="AC112" s="45">
        <f t="shared" si="89"/>
        <v>0.12</v>
      </c>
      <c r="AD112" s="45">
        <f t="shared" si="89"/>
        <v>0.49</v>
      </c>
      <c r="AE112" s="45">
        <f t="shared" si="90"/>
        <v>0.88</v>
      </c>
      <c r="AF112" s="45">
        <f t="shared" si="91"/>
        <v>1.1200000000000001</v>
      </c>
      <c r="AG112" s="45">
        <f t="shared" si="92"/>
        <v>5.71</v>
      </c>
      <c r="AH112" s="45">
        <f t="shared" si="93"/>
        <v>6.69</v>
      </c>
      <c r="AI112" s="46"/>
      <c r="AJ112" s="46">
        <f t="shared" si="94"/>
        <v>1</v>
      </c>
      <c r="AK112" s="46">
        <f t="shared" si="95"/>
        <v>6.2</v>
      </c>
      <c r="AL112" s="46">
        <f t="shared" si="96"/>
        <v>0.91227464602552299</v>
      </c>
      <c r="AM112" s="46">
        <f t="shared" si="97"/>
        <v>2.7748446146258887</v>
      </c>
      <c r="AN112" s="46">
        <f t="shared" si="98"/>
        <v>1.3647530972062023</v>
      </c>
      <c r="AO112" s="46">
        <f t="shared" si="99"/>
        <v>1.3850587765451954</v>
      </c>
      <c r="AP112" s="46">
        <f t="shared" si="100"/>
        <v>0.9093635091735045</v>
      </c>
      <c r="AQ112" s="46">
        <f t="shared" si="101"/>
        <v>0.47165928746865665</v>
      </c>
      <c r="AR112" s="46">
        <f t="shared" si="102"/>
        <v>2.4997895148220484</v>
      </c>
      <c r="AS112" s="47">
        <f t="shared" si="103"/>
        <v>2.6168367487838351</v>
      </c>
      <c r="AT112" s="63">
        <f t="shared" si="104"/>
        <v>0.11704723396178673</v>
      </c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</row>
    <row r="113" spans="1:116" x14ac:dyDescent="0.2">
      <c r="A113" s="78" t="s">
        <v>25</v>
      </c>
      <c r="B113" s="86">
        <v>100</v>
      </c>
      <c r="C113" s="86">
        <v>250</v>
      </c>
      <c r="D113" s="83">
        <v>175</v>
      </c>
      <c r="E113" s="99" t="s">
        <v>241</v>
      </c>
      <c r="F113" s="11"/>
      <c r="G113" s="36"/>
      <c r="H113" s="36"/>
      <c r="I113" s="37"/>
      <c r="J113" s="62"/>
      <c r="K113" s="129">
        <v>4</v>
      </c>
      <c r="P113" s="33"/>
      <c r="Q113" s="33"/>
      <c r="R113" s="45">
        <f t="shared" si="130"/>
        <v>0.23374763568218221</v>
      </c>
      <c r="S113" s="45">
        <f t="shared" si="131"/>
        <v>23.697715285232317</v>
      </c>
      <c r="T113" s="45">
        <f t="shared" si="132"/>
        <v>4.8422840979471991</v>
      </c>
      <c r="U113" s="45">
        <f t="shared" si="133"/>
        <v>158.11388300841898</v>
      </c>
      <c r="V113" s="45">
        <f t="shared" si="134"/>
        <v>7.656323413563511</v>
      </c>
      <c r="W113" s="45">
        <f t="shared" si="135"/>
        <v>3.8738272783577589E-2</v>
      </c>
      <c r="X113" s="45">
        <f t="shared" si="136"/>
        <v>8.31046241983878</v>
      </c>
      <c r="Y113" s="45">
        <f t="shared" si="118"/>
        <v>175</v>
      </c>
      <c r="Z113" s="45"/>
      <c r="AA113" s="45"/>
      <c r="AB113" s="45"/>
      <c r="AC113" s="45">
        <f t="shared" si="89"/>
        <v>0</v>
      </c>
      <c r="AD113" s="45">
        <f t="shared" si="89"/>
        <v>0</v>
      </c>
      <c r="AE113" s="45">
        <f t="shared" si="90"/>
        <v>100</v>
      </c>
      <c r="AF113" s="45">
        <f t="shared" si="91"/>
        <v>100</v>
      </c>
      <c r="AG113" s="45">
        <f t="shared" si="92"/>
        <v>250</v>
      </c>
      <c r="AH113" s="45">
        <f t="shared" si="93"/>
        <v>250</v>
      </c>
      <c r="AI113" s="46"/>
      <c r="AJ113" s="46">
        <f t="shared" si="94"/>
        <v>100</v>
      </c>
      <c r="AK113" s="46">
        <f t="shared" si="95"/>
        <v>250</v>
      </c>
      <c r="AL113" s="46">
        <f t="shared" si="96"/>
        <v>5.0633155519251689</v>
      </c>
      <c r="AM113" s="46">
        <f t="shared" si="97"/>
        <v>162.49293607523322</v>
      </c>
      <c r="AN113" s="46">
        <f t="shared" si="98"/>
        <v>38.507113349723319</v>
      </c>
      <c r="AO113" s="46">
        <f t="shared" si="99"/>
        <v>39.393674164261355</v>
      </c>
      <c r="AP113" s="46">
        <f t="shared" si="100"/>
        <v>5.0620787925236561</v>
      </c>
      <c r="AQ113" s="46">
        <f t="shared" si="101"/>
        <v>0.23898007446235955</v>
      </c>
      <c r="AR113" s="46">
        <f t="shared" si="102"/>
        <v>2.4997895148220484</v>
      </c>
      <c r="AS113" s="47">
        <f t="shared" si="103"/>
        <v>2.7286449599694396</v>
      </c>
      <c r="AT113" s="63">
        <f t="shared" si="104"/>
        <v>0.2288554451473912</v>
      </c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</row>
    <row r="114" spans="1:116" x14ac:dyDescent="0.2">
      <c r="A114" s="78" t="s">
        <v>73</v>
      </c>
      <c r="B114" s="86">
        <v>3.18</v>
      </c>
      <c r="C114" s="86">
        <v>11.49</v>
      </c>
      <c r="D114" s="83">
        <v>7.335</v>
      </c>
      <c r="E114" s="104" t="s">
        <v>20</v>
      </c>
      <c r="F114" s="11"/>
      <c r="G114" s="36">
        <f t="shared" ref="G114:G122" si="139">(X114*100)/D114</f>
        <v>5.5776220628277722</v>
      </c>
      <c r="H114" s="36">
        <f t="shared" ref="H114:H122" si="140">G114*2.39</f>
        <v>13.330516730158376</v>
      </c>
      <c r="I114" s="37">
        <f t="shared" ref="I114:I122" si="141">H114*1.96</f>
        <v>26.127812791110415</v>
      </c>
      <c r="J114" s="62">
        <f t="shared" ref="J114:J122" si="142">AT114</f>
        <v>0.16377567767373868</v>
      </c>
      <c r="K114" s="138">
        <v>7</v>
      </c>
      <c r="L114" s="121">
        <v>12</v>
      </c>
      <c r="M114" s="121">
        <v>21</v>
      </c>
      <c r="N114" s="121">
        <v>12</v>
      </c>
      <c r="O114" s="121">
        <v>21</v>
      </c>
      <c r="P114" s="33">
        <v>10.72</v>
      </c>
      <c r="Q114" s="33">
        <v>12.26</v>
      </c>
      <c r="R114" s="45">
        <f t="shared" si="130"/>
        <v>0.32770303445627008</v>
      </c>
      <c r="S114" s="45">
        <f t="shared" si="131"/>
        <v>33.670102541893321</v>
      </c>
      <c r="T114" s="45">
        <f t="shared" si="132"/>
        <v>5.7810122419774652</v>
      </c>
      <c r="U114" s="45">
        <f t="shared" si="133"/>
        <v>6.0446836145492346</v>
      </c>
      <c r="V114" s="45">
        <f t="shared" si="134"/>
        <v>0.34944389974589718</v>
      </c>
      <c r="W114" s="45">
        <f t="shared" si="135"/>
        <v>4.6248097935819722E-2</v>
      </c>
      <c r="X114" s="45">
        <f t="shared" si="136"/>
        <v>0.40911857830841714</v>
      </c>
      <c r="Y114" s="45">
        <f t="shared" si="118"/>
        <v>7.335</v>
      </c>
      <c r="Z114" s="45"/>
      <c r="AA114" s="45">
        <f t="shared" ref="AA114:AA122" si="143">(B114*W114)+(0.2*V114)</f>
        <v>0.21695773138508617</v>
      </c>
      <c r="AB114" s="45">
        <f t="shared" ref="AB114:AB122" si="144">(C114*W114)+(0.2*V114)</f>
        <v>0.60127942523174804</v>
      </c>
      <c r="AC114" s="45">
        <f t="shared" si="89"/>
        <v>0.28000000000000003</v>
      </c>
      <c r="AD114" s="45">
        <f t="shared" si="89"/>
        <v>0.77</v>
      </c>
      <c r="AE114" s="45">
        <f t="shared" si="90"/>
        <v>2.9000000000000004</v>
      </c>
      <c r="AF114" s="45">
        <f t="shared" si="91"/>
        <v>3.46</v>
      </c>
      <c r="AG114" s="45">
        <f t="shared" si="92"/>
        <v>10.72</v>
      </c>
      <c r="AH114" s="45">
        <f t="shared" si="93"/>
        <v>12.26</v>
      </c>
      <c r="AI114" s="46"/>
      <c r="AJ114" s="46">
        <f t="shared" si="94"/>
        <v>3.18</v>
      </c>
      <c r="AK114" s="46">
        <f t="shared" si="95"/>
        <v>11.49</v>
      </c>
      <c r="AL114" s="46">
        <f t="shared" si="96"/>
        <v>1.7991791443263749</v>
      </c>
      <c r="AM114" s="46">
        <f t="shared" si="97"/>
        <v>6.3781225553048664</v>
      </c>
      <c r="AN114" s="46">
        <f t="shared" si="98"/>
        <v>2.147520404618775</v>
      </c>
      <c r="AO114" s="46">
        <f t="shared" si="99"/>
        <v>2.1861431561933649</v>
      </c>
      <c r="AP114" s="46">
        <f t="shared" si="100"/>
        <v>1.7973347962806123</v>
      </c>
      <c r="AQ114" s="46">
        <f t="shared" si="101"/>
        <v>0.33328362528539035</v>
      </c>
      <c r="AR114" s="46">
        <f t="shared" si="102"/>
        <v>2.4997895148220484</v>
      </c>
      <c r="AS114" s="47">
        <f t="shared" si="103"/>
        <v>2.663565192495787</v>
      </c>
      <c r="AT114" s="63">
        <f t="shared" si="104"/>
        <v>0.16377567767373868</v>
      </c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</row>
    <row r="115" spans="1:116" x14ac:dyDescent="0.2">
      <c r="A115" s="78" t="s">
        <v>168</v>
      </c>
      <c r="B115" s="86">
        <v>0.13</v>
      </c>
      <c r="C115" s="86">
        <v>0.82</v>
      </c>
      <c r="D115" s="83">
        <v>0.47499999999999998</v>
      </c>
      <c r="E115" s="99" t="s">
        <v>20</v>
      </c>
      <c r="F115" s="11"/>
      <c r="G115" s="36">
        <f t="shared" si="139"/>
        <v>6.5923785330211304</v>
      </c>
      <c r="H115" s="36">
        <f t="shared" si="140"/>
        <v>15.755784693920502</v>
      </c>
      <c r="I115" s="37">
        <f t="shared" si="141"/>
        <v>30.881338000084185</v>
      </c>
      <c r="J115" s="62">
        <f t="shared" si="142"/>
        <v>0.11600990824557345</v>
      </c>
      <c r="K115" s="129">
        <v>6</v>
      </c>
      <c r="L115" s="121">
        <v>11</v>
      </c>
      <c r="M115" s="121">
        <v>22</v>
      </c>
      <c r="N115" s="121">
        <v>11</v>
      </c>
      <c r="O115" s="121">
        <v>22</v>
      </c>
      <c r="P115" s="33">
        <v>0.76</v>
      </c>
      <c r="Q115" s="33">
        <v>0.87999999999999989</v>
      </c>
      <c r="R115" s="45">
        <f t="shared" si="130"/>
        <v>0.46983925760273376</v>
      </c>
      <c r="S115" s="45">
        <f t="shared" si="131"/>
        <v>49.700130972380627</v>
      </c>
      <c r="T115" s="45">
        <f t="shared" si="132"/>
        <v>7.032078709199765</v>
      </c>
      <c r="U115" s="45">
        <f t="shared" si="133"/>
        <v>0.32649655434629016</v>
      </c>
      <c r="V115" s="45">
        <f t="shared" si="134"/>
        <v>2.2959494684456312E-2</v>
      </c>
      <c r="W115" s="45">
        <f t="shared" si="135"/>
        <v>5.6256629673598124E-2</v>
      </c>
      <c r="X115" s="45">
        <f t="shared" si="136"/>
        <v>3.1313798031850366E-2</v>
      </c>
      <c r="Y115" s="45">
        <f t="shared" si="118"/>
        <v>0.47499999999999998</v>
      </c>
      <c r="Z115" s="45"/>
      <c r="AA115" s="45">
        <f t="shared" si="143"/>
        <v>1.1905260794459019E-2</v>
      </c>
      <c r="AB115" s="45">
        <f t="shared" si="144"/>
        <v>5.072233526924172E-2</v>
      </c>
      <c r="AC115" s="45">
        <f t="shared" si="89"/>
        <v>0.02</v>
      </c>
      <c r="AD115" s="45">
        <f t="shared" si="89"/>
        <v>0.06</v>
      </c>
      <c r="AE115" s="45">
        <f t="shared" si="90"/>
        <v>0.11</v>
      </c>
      <c r="AF115" s="45">
        <f t="shared" si="91"/>
        <v>0.15</v>
      </c>
      <c r="AG115" s="45">
        <f t="shared" si="92"/>
        <v>0.76</v>
      </c>
      <c r="AH115" s="45">
        <f t="shared" si="93"/>
        <v>0.87999999999999989</v>
      </c>
      <c r="AI115" s="46"/>
      <c r="AJ115" s="46">
        <f t="shared" si="94"/>
        <v>0.13</v>
      </c>
      <c r="AK115" s="46">
        <f t="shared" si="95"/>
        <v>0.82</v>
      </c>
      <c r="AL115" s="46">
        <f t="shared" si="96"/>
        <v>-1.1193358836251965</v>
      </c>
      <c r="AM115" s="46">
        <f t="shared" si="97"/>
        <v>0.36459744675332167</v>
      </c>
      <c r="AN115" s="46">
        <f t="shared" si="98"/>
        <v>0.18120540855835657</v>
      </c>
      <c r="AO115" s="46">
        <f t="shared" si="99"/>
        <v>0.18389114725288011</v>
      </c>
      <c r="AP115" s="46">
        <f t="shared" si="100"/>
        <v>-1.122284802875297</v>
      </c>
      <c r="AQ115" s="46">
        <f t="shared" si="101"/>
        <v>0.47607432873962979</v>
      </c>
      <c r="AR115" s="46">
        <f t="shared" si="102"/>
        <v>2.4997895148220484</v>
      </c>
      <c r="AS115" s="47">
        <f t="shared" si="103"/>
        <v>2.6157994230676218</v>
      </c>
      <c r="AT115" s="63">
        <f t="shared" si="104"/>
        <v>0.11600990824557345</v>
      </c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</row>
    <row r="116" spans="1:116" x14ac:dyDescent="0.2">
      <c r="A116" s="78" t="s">
        <v>172</v>
      </c>
      <c r="B116" s="86">
        <v>200</v>
      </c>
      <c r="C116" s="86">
        <v>1000</v>
      </c>
      <c r="D116" s="83">
        <v>600</v>
      </c>
      <c r="E116" s="99" t="s">
        <v>242</v>
      </c>
      <c r="F116" s="11"/>
      <c r="G116" s="36">
        <f t="shared" si="139"/>
        <v>6.1944365961807542</v>
      </c>
      <c r="H116" s="36">
        <f t="shared" si="140"/>
        <v>14.804703464872004</v>
      </c>
      <c r="I116" s="37">
        <f t="shared" si="141"/>
        <v>29.017218791149126</v>
      </c>
      <c r="J116" s="62">
        <f t="shared" si="142"/>
        <v>0.13184260349775601</v>
      </c>
      <c r="K116" s="129">
        <v>7</v>
      </c>
      <c r="L116" s="121">
        <v>13.5</v>
      </c>
      <c r="M116" s="121">
        <v>23</v>
      </c>
      <c r="N116" s="121">
        <v>13.5</v>
      </c>
      <c r="O116" s="121">
        <v>23</v>
      </c>
      <c r="P116" s="33"/>
      <c r="Q116" s="33"/>
      <c r="R116" s="45">
        <f t="shared" si="130"/>
        <v>0.41057089602910729</v>
      </c>
      <c r="S116" s="45">
        <f t="shared" si="131"/>
        <v>42.849650494403001</v>
      </c>
      <c r="T116" s="45">
        <f t="shared" si="132"/>
        <v>6.5268407744024977</v>
      </c>
      <c r="U116" s="45">
        <f t="shared" si="133"/>
        <v>447.21359549995793</v>
      </c>
      <c r="V116" s="45">
        <f t="shared" si="134"/>
        <v>29.188919299762706</v>
      </c>
      <c r="W116" s="45">
        <f t="shared" si="135"/>
        <v>5.2214726195219975E-2</v>
      </c>
      <c r="X116" s="45">
        <f t="shared" si="136"/>
        <v>37.166619577084525</v>
      </c>
      <c r="Y116" s="45">
        <f t="shared" si="118"/>
        <v>600</v>
      </c>
      <c r="Z116" s="45"/>
      <c r="AA116" s="45">
        <f t="shared" si="143"/>
        <v>16.280729098996538</v>
      </c>
      <c r="AB116" s="45">
        <f t="shared" si="144"/>
        <v>58.052510055172519</v>
      </c>
      <c r="AC116" s="45">
        <f t="shared" si="89"/>
        <v>20.84</v>
      </c>
      <c r="AD116" s="45">
        <f t="shared" si="89"/>
        <v>74.31</v>
      </c>
      <c r="AE116" s="45">
        <f t="shared" si="90"/>
        <v>179.16</v>
      </c>
      <c r="AF116" s="45">
        <f t="shared" si="91"/>
        <v>220.84</v>
      </c>
      <c r="AG116" s="45">
        <f t="shared" si="92"/>
        <v>925.69</v>
      </c>
      <c r="AH116" s="45">
        <f t="shared" si="93"/>
        <v>1074.31</v>
      </c>
      <c r="AI116" s="46"/>
      <c r="AJ116" s="46">
        <f t="shared" si="94"/>
        <v>200</v>
      </c>
      <c r="AK116" s="46">
        <f t="shared" si="95"/>
        <v>1000</v>
      </c>
      <c r="AL116" s="46">
        <f t="shared" si="96"/>
        <v>6.103036322765087</v>
      </c>
      <c r="AM116" s="46">
        <f t="shared" si="97"/>
        <v>486.54069814338237</v>
      </c>
      <c r="AN116" s="46">
        <f t="shared" si="98"/>
        <v>208.48098866746767</v>
      </c>
      <c r="AO116" s="46">
        <f t="shared" si="99"/>
        <v>211.76798683123118</v>
      </c>
      <c r="AP116" s="46">
        <f t="shared" si="100"/>
        <v>6.1005773084617196</v>
      </c>
      <c r="AQ116" s="46">
        <f t="shared" si="101"/>
        <v>0.4165170936142702</v>
      </c>
      <c r="AR116" s="46">
        <f t="shared" si="102"/>
        <v>2.4997895148220484</v>
      </c>
      <c r="AS116" s="47">
        <f t="shared" si="103"/>
        <v>2.6316321183198044</v>
      </c>
      <c r="AT116" s="63">
        <f t="shared" si="104"/>
        <v>0.13184260349775601</v>
      </c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</row>
    <row r="117" spans="1:116" x14ac:dyDescent="0.2">
      <c r="A117" s="78" t="s">
        <v>70</v>
      </c>
      <c r="B117" s="86">
        <v>250</v>
      </c>
      <c r="C117" s="86">
        <v>433</v>
      </c>
      <c r="D117" s="83">
        <v>341.5</v>
      </c>
      <c r="E117" s="99" t="s">
        <v>20</v>
      </c>
      <c r="F117" s="11"/>
      <c r="G117" s="36">
        <f t="shared" si="139"/>
        <v>3.6918395012059304</v>
      </c>
      <c r="H117" s="36">
        <f t="shared" si="140"/>
        <v>8.8234964078821747</v>
      </c>
      <c r="I117" s="37">
        <f t="shared" si="141"/>
        <v>17.294052959449061</v>
      </c>
      <c r="J117" s="62">
        <f t="shared" si="142"/>
        <v>0.38485519656308309</v>
      </c>
      <c r="K117" s="129">
        <v>7</v>
      </c>
      <c r="L117" s="121">
        <v>13.5</v>
      </c>
      <c r="M117" s="121">
        <v>21</v>
      </c>
      <c r="N117" s="121">
        <v>13.5</v>
      </c>
      <c r="O117" s="121">
        <v>21</v>
      </c>
      <c r="P117" s="33">
        <v>413.38</v>
      </c>
      <c r="Q117" s="33">
        <v>452.62</v>
      </c>
      <c r="R117" s="45">
        <f t="shared" si="130"/>
        <v>0.14012163523985807</v>
      </c>
      <c r="S117" s="45">
        <f t="shared" si="131"/>
        <v>14.081224649177079</v>
      </c>
      <c r="T117" s="45">
        <f t="shared" si="132"/>
        <v>3.7190354460769903</v>
      </c>
      <c r="U117" s="45">
        <f t="shared" si="133"/>
        <v>329.01367752724201</v>
      </c>
      <c r="V117" s="45">
        <f t="shared" si="134"/>
        <v>12.236135289679575</v>
      </c>
      <c r="W117" s="45">
        <f t="shared" si="135"/>
        <v>2.9752283568615923E-2</v>
      </c>
      <c r="X117" s="45">
        <f t="shared" si="136"/>
        <v>12.607631896618253</v>
      </c>
      <c r="Y117" s="45">
        <f t="shared" si="118"/>
        <v>341.5</v>
      </c>
      <c r="Z117" s="45"/>
      <c r="AA117" s="45">
        <f t="shared" si="143"/>
        <v>9.8852979500898961</v>
      </c>
      <c r="AB117" s="45">
        <f t="shared" si="144"/>
        <v>15.32996584314661</v>
      </c>
      <c r="AC117" s="45">
        <f t="shared" si="89"/>
        <v>12.65</v>
      </c>
      <c r="AD117" s="45">
        <f t="shared" si="89"/>
        <v>19.62</v>
      </c>
      <c r="AE117" s="45">
        <f t="shared" si="90"/>
        <v>237.35</v>
      </c>
      <c r="AF117" s="45">
        <f t="shared" si="91"/>
        <v>262.64999999999998</v>
      </c>
      <c r="AG117" s="45">
        <f t="shared" si="92"/>
        <v>413.38</v>
      </c>
      <c r="AH117" s="45">
        <f t="shared" si="93"/>
        <v>452.62</v>
      </c>
      <c r="AI117" s="46"/>
      <c r="AJ117" s="46">
        <f t="shared" si="94"/>
        <v>250</v>
      </c>
      <c r="AK117" s="46">
        <f t="shared" si="95"/>
        <v>433</v>
      </c>
      <c r="AL117" s="46">
        <f t="shared" si="96"/>
        <v>5.7960993229323678</v>
      </c>
      <c r="AM117" s="46">
        <f t="shared" si="97"/>
        <v>332.25952297638196</v>
      </c>
      <c r="AN117" s="46">
        <f t="shared" si="98"/>
        <v>46.786209848588477</v>
      </c>
      <c r="AO117" s="46">
        <f t="shared" si="99"/>
        <v>48.455152605649516</v>
      </c>
      <c r="AP117" s="46">
        <f t="shared" si="100"/>
        <v>5.7953939012500575</v>
      </c>
      <c r="AQ117" s="46">
        <f t="shared" si="101"/>
        <v>0.14506865969917018</v>
      </c>
      <c r="AR117" s="46">
        <f t="shared" si="102"/>
        <v>2.4997895148220484</v>
      </c>
      <c r="AS117" s="47">
        <f t="shared" si="103"/>
        <v>2.8846447113851315</v>
      </c>
      <c r="AT117" s="63">
        <f t="shared" si="104"/>
        <v>0.38485519656308309</v>
      </c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</row>
    <row r="118" spans="1:116" x14ac:dyDescent="0.2">
      <c r="A118" s="78" t="s">
        <v>74</v>
      </c>
      <c r="B118" s="86">
        <v>34</v>
      </c>
      <c r="C118" s="86">
        <v>126</v>
      </c>
      <c r="D118" s="83">
        <v>80</v>
      </c>
      <c r="E118" s="99" t="s">
        <v>20</v>
      </c>
      <c r="F118" s="11" t="s">
        <v>75</v>
      </c>
      <c r="G118" s="36">
        <f t="shared" si="139"/>
        <v>5.6288978075490581</v>
      </c>
      <c r="H118" s="36">
        <f t="shared" si="140"/>
        <v>13.45306576004225</v>
      </c>
      <c r="I118" s="37">
        <f t="shared" si="141"/>
        <v>26.368008889682809</v>
      </c>
      <c r="J118" s="62">
        <f t="shared" si="142"/>
        <v>0.16069523608621683</v>
      </c>
      <c r="K118" s="129">
        <v>5</v>
      </c>
      <c r="L118" s="121">
        <v>8.5</v>
      </c>
      <c r="M118" s="121">
        <v>15</v>
      </c>
      <c r="N118" s="121">
        <v>8.5</v>
      </c>
      <c r="O118" s="121">
        <v>15</v>
      </c>
      <c r="P118" s="33">
        <v>117.48</v>
      </c>
      <c r="Q118" s="33">
        <v>134.52000000000001</v>
      </c>
      <c r="R118" s="45">
        <f t="shared" si="130"/>
        <v>0.33416361794268279</v>
      </c>
      <c r="S118" s="45">
        <f t="shared" si="131"/>
        <v>34.371293745401907</v>
      </c>
      <c r="T118" s="45">
        <f t="shared" si="132"/>
        <v>5.8413434880515211</v>
      </c>
      <c r="U118" s="45">
        <f t="shared" si="133"/>
        <v>65.452272687814286</v>
      </c>
      <c r="V118" s="45">
        <f t="shared" si="134"/>
        <v>3.8232920684313645</v>
      </c>
      <c r="W118" s="45">
        <f t="shared" si="135"/>
        <v>4.6730747904412173E-2</v>
      </c>
      <c r="X118" s="45">
        <f t="shared" si="136"/>
        <v>4.5031182460392465</v>
      </c>
      <c r="Y118" s="45">
        <f t="shared" si="118"/>
        <v>80</v>
      </c>
      <c r="Z118" s="45"/>
      <c r="AA118" s="45">
        <f t="shared" si="143"/>
        <v>2.3535038424362869</v>
      </c>
      <c r="AB118" s="45">
        <f t="shared" si="144"/>
        <v>6.6527326496422061</v>
      </c>
      <c r="AC118" s="45">
        <f t="shared" si="89"/>
        <v>3.01</v>
      </c>
      <c r="AD118" s="45">
        <f t="shared" si="89"/>
        <v>8.52</v>
      </c>
      <c r="AE118" s="45">
        <f t="shared" si="90"/>
        <v>30.990000000000002</v>
      </c>
      <c r="AF118" s="45">
        <f t="shared" si="91"/>
        <v>37.01</v>
      </c>
      <c r="AG118" s="45">
        <f t="shared" si="92"/>
        <v>117.48</v>
      </c>
      <c r="AH118" s="45">
        <f t="shared" si="93"/>
        <v>134.52000000000001</v>
      </c>
      <c r="AI118" s="46"/>
      <c r="AJ118" s="46">
        <f t="shared" si="94"/>
        <v>34</v>
      </c>
      <c r="AK118" s="46">
        <f t="shared" si="95"/>
        <v>126</v>
      </c>
      <c r="AL118" s="46">
        <f t="shared" si="96"/>
        <v>4.1813212157838198</v>
      </c>
      <c r="AM118" s="46">
        <f t="shared" si="97"/>
        <v>69.210589443892857</v>
      </c>
      <c r="AN118" s="46">
        <f t="shared" si="98"/>
        <v>23.788575000684538</v>
      </c>
      <c r="AO118" s="46">
        <f t="shared" si="99"/>
        <v>24.211038278045923</v>
      </c>
      <c r="AP118" s="46">
        <f t="shared" si="100"/>
        <v>4.1794317669265908</v>
      </c>
      <c r="AQ118" s="46">
        <f t="shared" si="101"/>
        <v>0.33977083640448258</v>
      </c>
      <c r="AR118" s="46">
        <f t="shared" si="102"/>
        <v>2.4997895148220484</v>
      </c>
      <c r="AS118" s="47">
        <f t="shared" si="103"/>
        <v>2.6604847509082652</v>
      </c>
      <c r="AT118" s="63">
        <f t="shared" si="104"/>
        <v>0.16069523608621683</v>
      </c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</row>
    <row r="119" spans="1:116" x14ac:dyDescent="0.2">
      <c r="A119" s="78" t="s">
        <v>49</v>
      </c>
      <c r="B119" s="86">
        <v>1.5</v>
      </c>
      <c r="C119" s="86">
        <v>7</v>
      </c>
      <c r="D119" s="83">
        <v>4.25</v>
      </c>
      <c r="E119" s="99" t="s">
        <v>241</v>
      </c>
      <c r="F119" s="11"/>
      <c r="G119" s="36">
        <f t="shared" si="139"/>
        <v>6.0701328260790772</v>
      </c>
      <c r="H119" s="36">
        <f t="shared" si="140"/>
        <v>14.507617454328996</v>
      </c>
      <c r="I119" s="37">
        <f t="shared" si="141"/>
        <v>28.434930210484829</v>
      </c>
      <c r="J119" s="62">
        <f t="shared" si="142"/>
        <v>0.13746710880511159</v>
      </c>
      <c r="K119" s="129">
        <v>8</v>
      </c>
      <c r="P119" s="33"/>
      <c r="Q119" s="33"/>
      <c r="R119" s="45">
        <f t="shared" si="130"/>
        <v>0.39297067371100736</v>
      </c>
      <c r="S119" s="45">
        <f t="shared" si="131"/>
        <v>40.864148084849639</v>
      </c>
      <c r="T119" s="45">
        <f t="shared" si="132"/>
        <v>6.3729230408698365</v>
      </c>
      <c r="U119" s="45">
        <f t="shared" si="133"/>
        <v>3.2403703492039302</v>
      </c>
      <c r="V119" s="45">
        <f t="shared" si="134"/>
        <v>0.20650630859393165</v>
      </c>
      <c r="W119" s="45">
        <f t="shared" si="135"/>
        <v>5.0983384326958689E-2</v>
      </c>
      <c r="X119" s="45">
        <f t="shared" si="136"/>
        <v>0.25798064510836077</v>
      </c>
      <c r="Y119" s="45">
        <f t="shared" si="118"/>
        <v>4.25</v>
      </c>
      <c r="Z119" s="45"/>
      <c r="AA119" s="45">
        <f t="shared" si="143"/>
        <v>0.11777633820922437</v>
      </c>
      <c r="AB119" s="45">
        <f t="shared" si="144"/>
        <v>0.39818495200749715</v>
      </c>
      <c r="AC119" s="45">
        <f t="shared" si="89"/>
        <v>0.15</v>
      </c>
      <c r="AD119" s="45">
        <f t="shared" si="89"/>
        <v>0.51</v>
      </c>
      <c r="AE119" s="45">
        <f t="shared" si="90"/>
        <v>1.35</v>
      </c>
      <c r="AF119" s="45">
        <f t="shared" si="91"/>
        <v>1.65</v>
      </c>
      <c r="AG119" s="45">
        <f t="shared" si="92"/>
        <v>6.49</v>
      </c>
      <c r="AH119" s="45">
        <f t="shared" si="93"/>
        <v>7.51</v>
      </c>
      <c r="AI119" s="46"/>
      <c r="AJ119" s="46">
        <f t="shared" si="94"/>
        <v>1.5</v>
      </c>
      <c r="AK119" s="46">
        <f t="shared" si="95"/>
        <v>7</v>
      </c>
      <c r="AL119" s="46">
        <f t="shared" si="96"/>
        <v>1.1756876285817388</v>
      </c>
      <c r="AM119" s="46">
        <f t="shared" si="97"/>
        <v>3.5004817566494397</v>
      </c>
      <c r="AN119" s="46">
        <f t="shared" si="98"/>
        <v>1.4304420487203731</v>
      </c>
      <c r="AO119" s="46">
        <f t="shared" si="99"/>
        <v>1.4535193387079046</v>
      </c>
      <c r="AP119" s="46">
        <f t="shared" si="100"/>
        <v>1.1733658886609242</v>
      </c>
      <c r="AQ119" s="46">
        <f t="shared" si="101"/>
        <v>0.3988350915334713</v>
      </c>
      <c r="AR119" s="46">
        <f t="shared" si="102"/>
        <v>2.4997895148220484</v>
      </c>
      <c r="AS119" s="47">
        <f t="shared" si="103"/>
        <v>2.63725662362716</v>
      </c>
      <c r="AT119" s="63">
        <f t="shared" si="104"/>
        <v>0.13746710880511159</v>
      </c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</row>
    <row r="120" spans="1:116" x14ac:dyDescent="0.2">
      <c r="A120" s="76" t="s">
        <v>59</v>
      </c>
      <c r="B120" s="86">
        <v>68</v>
      </c>
      <c r="C120" s="86">
        <v>270</v>
      </c>
      <c r="D120" s="83">
        <v>169</v>
      </c>
      <c r="E120" s="99" t="s">
        <v>20</v>
      </c>
      <c r="F120" s="11" t="s">
        <v>75</v>
      </c>
      <c r="G120" s="36">
        <f t="shared" si="139"/>
        <v>5.7655738919691712</v>
      </c>
      <c r="H120" s="36">
        <f t="shared" si="140"/>
        <v>13.779721601806321</v>
      </c>
      <c r="I120" s="37">
        <f t="shared" si="141"/>
        <v>27.00825433954039</v>
      </c>
      <c r="J120" s="62">
        <f t="shared" si="142"/>
        <v>0.15289964563550695</v>
      </c>
      <c r="K120" s="129">
        <v>4</v>
      </c>
      <c r="L120" s="121">
        <v>6.5</v>
      </c>
      <c r="M120" s="121">
        <v>12</v>
      </c>
      <c r="N120" s="121">
        <v>6.5</v>
      </c>
      <c r="O120" s="121">
        <v>12</v>
      </c>
      <c r="P120" s="33">
        <v>251.32</v>
      </c>
      <c r="Q120" s="33">
        <v>288.68</v>
      </c>
      <c r="R120" s="45">
        <f t="shared" si="130"/>
        <v>0.35176384026078267</v>
      </c>
      <c r="S120" s="45">
        <f t="shared" si="131"/>
        <v>36.293125323065681</v>
      </c>
      <c r="T120" s="45">
        <f t="shared" si="132"/>
        <v>6.003592701296923</v>
      </c>
      <c r="U120" s="45">
        <f t="shared" si="133"/>
        <v>135.49907748763457</v>
      </c>
      <c r="V120" s="45">
        <f t="shared" si="134"/>
        <v>8.1348127263722905</v>
      </c>
      <c r="W120" s="45">
        <f t="shared" si="135"/>
        <v>4.8028741610375382E-2</v>
      </c>
      <c r="X120" s="45">
        <f t="shared" si="136"/>
        <v>9.7438198774278995</v>
      </c>
      <c r="Y120" s="45">
        <f t="shared" si="118"/>
        <v>169</v>
      </c>
      <c r="Z120" s="45"/>
      <c r="AA120" s="45">
        <f t="shared" si="143"/>
        <v>4.8929169747799843</v>
      </c>
      <c r="AB120" s="45">
        <f t="shared" si="144"/>
        <v>14.594722780075813</v>
      </c>
      <c r="AC120" s="45">
        <f t="shared" si="89"/>
        <v>6.26</v>
      </c>
      <c r="AD120" s="45">
        <f t="shared" si="89"/>
        <v>18.68</v>
      </c>
      <c r="AE120" s="45">
        <f t="shared" si="90"/>
        <v>61.74</v>
      </c>
      <c r="AF120" s="45">
        <f t="shared" si="91"/>
        <v>74.260000000000005</v>
      </c>
      <c r="AG120" s="45">
        <f t="shared" si="92"/>
        <v>251.32</v>
      </c>
      <c r="AH120" s="45">
        <f t="shared" si="93"/>
        <v>288.68</v>
      </c>
      <c r="AI120" s="46"/>
      <c r="AJ120" s="46">
        <f t="shared" si="94"/>
        <v>68</v>
      </c>
      <c r="AK120" s="46">
        <f t="shared" si="95"/>
        <v>270</v>
      </c>
      <c r="AL120" s="46">
        <f t="shared" si="96"/>
        <v>4.908964832087241</v>
      </c>
      <c r="AM120" s="46">
        <f t="shared" si="97"/>
        <v>144.14701723009779</v>
      </c>
      <c r="AN120" s="46">
        <f t="shared" si="98"/>
        <v>52.315457612780477</v>
      </c>
      <c r="AO120" s="46">
        <f t="shared" si="99"/>
        <v>53.215121263024379</v>
      </c>
      <c r="AP120" s="46">
        <f t="shared" si="100"/>
        <v>4.9069501650438845</v>
      </c>
      <c r="AQ120" s="46">
        <f t="shared" si="101"/>
        <v>0.35744528728425806</v>
      </c>
      <c r="AR120" s="46">
        <f t="shared" si="102"/>
        <v>2.4997895148220484</v>
      </c>
      <c r="AS120" s="47">
        <f t="shared" si="103"/>
        <v>2.6526891604575553</v>
      </c>
      <c r="AT120" s="63">
        <f t="shared" si="104"/>
        <v>0.15289964563550695</v>
      </c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</row>
    <row r="121" spans="1:116" x14ac:dyDescent="0.2">
      <c r="A121" s="76" t="s">
        <v>57</v>
      </c>
      <c r="B121" s="86">
        <v>7</v>
      </c>
      <c r="C121" s="86">
        <v>24</v>
      </c>
      <c r="D121" s="83">
        <v>15.5</v>
      </c>
      <c r="E121" s="99" t="s">
        <v>20</v>
      </c>
      <c r="F121" s="11"/>
      <c r="G121" s="36">
        <f t="shared" si="139"/>
        <v>5.4694104848495346</v>
      </c>
      <c r="H121" s="36">
        <f t="shared" si="140"/>
        <v>13.071891058790388</v>
      </c>
      <c r="I121" s="37">
        <f t="shared" si="141"/>
        <v>25.620906475229162</v>
      </c>
      <c r="J121" s="62">
        <f t="shared" si="142"/>
        <v>0.17057602933335803</v>
      </c>
      <c r="K121" s="129">
        <v>6</v>
      </c>
      <c r="L121" s="121">
        <v>11.5</v>
      </c>
      <c r="M121" s="121">
        <v>20</v>
      </c>
      <c r="N121" s="121">
        <v>11.5</v>
      </c>
      <c r="O121" s="121">
        <v>20</v>
      </c>
      <c r="P121" s="33">
        <v>22.42</v>
      </c>
      <c r="Q121" s="33">
        <v>25.58</v>
      </c>
      <c r="R121" s="45">
        <f t="shared" si="130"/>
        <v>0.31432236767669197</v>
      </c>
      <c r="S121" s="45">
        <f t="shared" si="131"/>
        <v>32.224820978746557</v>
      </c>
      <c r="T121" s="45">
        <f t="shared" si="132"/>
        <v>5.6546282794491942</v>
      </c>
      <c r="U121" s="45">
        <f t="shared" si="133"/>
        <v>12.961481396815721</v>
      </c>
      <c r="V121" s="45">
        <f t="shared" si="134"/>
        <v>0.73292359249988825</v>
      </c>
      <c r="W121" s="45">
        <f t="shared" si="135"/>
        <v>4.5237026235593558E-2</v>
      </c>
      <c r="X121" s="45">
        <f t="shared" si="136"/>
        <v>0.84775862515167788</v>
      </c>
      <c r="Y121" s="45">
        <f t="shared" si="118"/>
        <v>15.5</v>
      </c>
      <c r="Z121" s="45"/>
      <c r="AA121" s="45">
        <f t="shared" si="143"/>
        <v>0.46324390214913258</v>
      </c>
      <c r="AB121" s="45">
        <f t="shared" si="144"/>
        <v>1.232273348154223</v>
      </c>
      <c r="AC121" s="45">
        <f t="shared" si="89"/>
        <v>0.59</v>
      </c>
      <c r="AD121" s="45">
        <f t="shared" si="89"/>
        <v>1.58</v>
      </c>
      <c r="AE121" s="45">
        <f t="shared" si="90"/>
        <v>6.41</v>
      </c>
      <c r="AF121" s="45">
        <f t="shared" si="91"/>
        <v>7.59</v>
      </c>
      <c r="AG121" s="45">
        <f t="shared" si="92"/>
        <v>22.42</v>
      </c>
      <c r="AH121" s="45">
        <f t="shared" si="93"/>
        <v>25.58</v>
      </c>
      <c r="AI121" s="46"/>
      <c r="AJ121" s="46">
        <f t="shared" si="94"/>
        <v>7</v>
      </c>
      <c r="AK121" s="46">
        <f t="shared" si="95"/>
        <v>24</v>
      </c>
      <c r="AL121" s="46">
        <f t="shared" si="96"/>
        <v>2.5619819897016294</v>
      </c>
      <c r="AM121" s="46">
        <f t="shared" si="97"/>
        <v>13.617847725080717</v>
      </c>
      <c r="AN121" s="46">
        <f t="shared" si="98"/>
        <v>4.3883270505655716</v>
      </c>
      <c r="AO121" s="46">
        <f t="shared" si="99"/>
        <v>4.4694640606279172</v>
      </c>
      <c r="AP121" s="46">
        <f t="shared" si="100"/>
        <v>2.5602296086277652</v>
      </c>
      <c r="AQ121" s="46">
        <f t="shared" si="101"/>
        <v>0.31984889083692408</v>
      </c>
      <c r="AR121" s="46">
        <f t="shared" si="102"/>
        <v>2.4997895148220373</v>
      </c>
      <c r="AS121" s="47">
        <f t="shared" si="103"/>
        <v>2.6703655441553953</v>
      </c>
      <c r="AT121" s="63">
        <f t="shared" si="104"/>
        <v>0.17057602933335803</v>
      </c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</row>
    <row r="122" spans="1:116" x14ac:dyDescent="0.2">
      <c r="A122" s="76" t="s">
        <v>63</v>
      </c>
      <c r="B122" s="86">
        <v>22.5</v>
      </c>
      <c r="C122" s="86">
        <v>150</v>
      </c>
      <c r="D122" s="83">
        <v>86.25</v>
      </c>
      <c r="E122" s="99" t="s">
        <v>23</v>
      </c>
      <c r="F122" s="11"/>
      <c r="G122" s="36">
        <f t="shared" si="139"/>
        <v>6.6832240813543349</v>
      </c>
      <c r="H122" s="36">
        <f t="shared" si="140"/>
        <v>15.972905554436862</v>
      </c>
      <c r="I122" s="37">
        <f t="shared" si="141"/>
        <v>31.306894886696249</v>
      </c>
      <c r="J122" s="62">
        <f t="shared" si="142"/>
        <v>0.11279826455551367</v>
      </c>
      <c r="K122" s="129">
        <v>8</v>
      </c>
      <c r="L122" s="121">
        <v>11.5</v>
      </c>
      <c r="M122" s="121">
        <v>24</v>
      </c>
      <c r="N122" s="121">
        <v>11.5</v>
      </c>
      <c r="O122" s="121">
        <v>24</v>
      </c>
      <c r="P122" s="33">
        <v>137.94999999999999</v>
      </c>
      <c r="Q122" s="33">
        <v>162.05000000000001</v>
      </c>
      <c r="R122" s="45">
        <f t="shared" si="130"/>
        <v>0.48395917981782688</v>
      </c>
      <c r="S122" s="45">
        <f t="shared" si="131"/>
        <v>51.372958387566328</v>
      </c>
      <c r="T122" s="45">
        <f t="shared" si="132"/>
        <v>7.1500320550027139</v>
      </c>
      <c r="U122" s="45">
        <f t="shared" si="133"/>
        <v>58.094750193111253</v>
      </c>
      <c r="V122" s="45">
        <f t="shared" si="134"/>
        <v>4.1537932610812058</v>
      </c>
      <c r="W122" s="45">
        <f t="shared" si="135"/>
        <v>5.7200256440021711E-2</v>
      </c>
      <c r="X122" s="45">
        <f t="shared" si="136"/>
        <v>5.7642807701681136</v>
      </c>
      <c r="Y122" s="45">
        <f t="shared" si="118"/>
        <v>86.25</v>
      </c>
      <c r="Z122" s="45"/>
      <c r="AA122" s="45">
        <f t="shared" si="143"/>
        <v>2.1177644221167298</v>
      </c>
      <c r="AB122" s="45">
        <f t="shared" si="144"/>
        <v>9.4107971182194987</v>
      </c>
      <c r="AC122" s="45">
        <f t="shared" si="89"/>
        <v>2.71</v>
      </c>
      <c r="AD122" s="45">
        <f t="shared" si="89"/>
        <v>12.05</v>
      </c>
      <c r="AE122" s="45">
        <f t="shared" si="90"/>
        <v>19.79</v>
      </c>
      <c r="AF122" s="45">
        <f t="shared" si="91"/>
        <v>25.21</v>
      </c>
      <c r="AG122" s="45">
        <f t="shared" si="92"/>
        <v>137.94999999999999</v>
      </c>
      <c r="AH122" s="45">
        <f t="shared" si="93"/>
        <v>162.05000000000001</v>
      </c>
      <c r="AI122" s="46"/>
      <c r="AJ122" s="46">
        <f t="shared" si="94"/>
        <v>22.5</v>
      </c>
      <c r="AK122" s="46">
        <f t="shared" si="95"/>
        <v>150</v>
      </c>
      <c r="AL122" s="46">
        <f t="shared" si="96"/>
        <v>4.0620753016533149</v>
      </c>
      <c r="AM122" s="46">
        <f t="shared" si="97"/>
        <v>65.312506750645255</v>
      </c>
      <c r="AN122" s="46">
        <f t="shared" si="98"/>
        <v>33.552966914885431</v>
      </c>
      <c r="AO122" s="46">
        <f t="shared" si="99"/>
        <v>34.044507950456946</v>
      </c>
      <c r="AP122" s="46">
        <f t="shared" si="100"/>
        <v>4.0590033540003727</v>
      </c>
      <c r="AQ122" s="46">
        <f t="shared" si="101"/>
        <v>0.49026562497877335</v>
      </c>
      <c r="AR122" s="46">
        <f t="shared" si="102"/>
        <v>2.4997895148220484</v>
      </c>
      <c r="AS122" s="47">
        <f t="shared" si="103"/>
        <v>2.612587779377562</v>
      </c>
      <c r="AT122" s="63">
        <f t="shared" si="104"/>
        <v>0.11279826455551367</v>
      </c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</row>
    <row r="123" spans="1:116" x14ac:dyDescent="0.2">
      <c r="B123" s="86"/>
      <c r="C123" s="86"/>
      <c r="D123" s="83"/>
      <c r="F123" s="6"/>
      <c r="G123" s="36"/>
      <c r="H123" s="36"/>
      <c r="I123" s="37"/>
      <c r="J123" s="62"/>
      <c r="K123" s="129"/>
      <c r="P123" s="33"/>
      <c r="Q123" s="33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7"/>
      <c r="AT123" s="63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</row>
    <row r="124" spans="1:116" x14ac:dyDescent="0.2">
      <c r="A124" s="76" t="s">
        <v>76</v>
      </c>
      <c r="B124" s="86"/>
      <c r="C124" s="86"/>
      <c r="D124" s="83"/>
      <c r="F124" s="6"/>
      <c r="G124" s="36"/>
      <c r="H124" s="36"/>
      <c r="I124" s="37"/>
      <c r="J124" s="62"/>
      <c r="K124" s="129"/>
      <c r="P124" s="33"/>
      <c r="Q124" s="33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7"/>
      <c r="AT124" s="63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</row>
    <row r="125" spans="1:116" x14ac:dyDescent="0.2">
      <c r="A125" s="76" t="s">
        <v>8</v>
      </c>
      <c r="B125" s="86"/>
      <c r="C125" s="86" t="s">
        <v>240</v>
      </c>
      <c r="D125" s="83"/>
      <c r="E125" s="99" t="s">
        <v>38</v>
      </c>
      <c r="F125" s="6"/>
      <c r="G125" s="36"/>
      <c r="H125" s="36"/>
      <c r="I125" s="37"/>
      <c r="J125" s="62"/>
      <c r="K125" s="129">
        <v>8</v>
      </c>
      <c r="L125" s="121">
        <v>13.5</v>
      </c>
      <c r="M125" s="121">
        <v>23</v>
      </c>
      <c r="N125" s="121">
        <v>13.5</v>
      </c>
      <c r="O125" s="121">
        <v>23</v>
      </c>
      <c r="P125" s="33"/>
      <c r="Q125" s="33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7"/>
      <c r="AT125" s="63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</row>
    <row r="126" spans="1:116" x14ac:dyDescent="0.2">
      <c r="A126" s="76" t="s">
        <v>37</v>
      </c>
      <c r="B126" s="86">
        <v>48</v>
      </c>
      <c r="C126" s="86">
        <v>86</v>
      </c>
      <c r="D126" s="83">
        <v>67</v>
      </c>
      <c r="E126" s="99" t="s">
        <v>20</v>
      </c>
      <c r="F126" s="6"/>
      <c r="G126" s="36">
        <f t="shared" ref="G126:G131" si="145">(X126*100)/D126</f>
        <v>3.8037250455518374</v>
      </c>
      <c r="H126" s="36">
        <f t="shared" ref="H126:H131" si="146">G126*2.39</f>
        <v>9.0909028588688923</v>
      </c>
      <c r="I126" s="37">
        <f t="shared" ref="I126:I131" si="147">H126*1.96</f>
        <v>17.81816960338303</v>
      </c>
      <c r="J126" s="62">
        <f t="shared" ref="J126:J131" si="148">AT126</f>
        <v>0.36204943126818545</v>
      </c>
      <c r="K126" s="129">
        <v>5</v>
      </c>
      <c r="L126" s="121">
        <v>9.5</v>
      </c>
      <c r="M126" s="121">
        <v>18</v>
      </c>
      <c r="N126" s="121">
        <v>9.5</v>
      </c>
      <c r="O126" s="121">
        <v>18</v>
      </c>
      <c r="P126" s="33">
        <v>81.99</v>
      </c>
      <c r="Q126" s="33">
        <v>90.01</v>
      </c>
      <c r="R126" s="45">
        <f t="shared" si="130"/>
        <v>0.14876180748612658</v>
      </c>
      <c r="S126" s="45">
        <f t="shared" si="131"/>
        <v>14.958864212816886</v>
      </c>
      <c r="T126" s="45">
        <f t="shared" si="132"/>
        <v>3.8352137114920839</v>
      </c>
      <c r="U126" s="45">
        <f t="shared" si="133"/>
        <v>64.24951361683604</v>
      </c>
      <c r="V126" s="45">
        <f t="shared" si="134"/>
        <v>2.4641061557998696</v>
      </c>
      <c r="W126" s="45">
        <f t="shared" si="135"/>
        <v>3.0681709691936673E-2</v>
      </c>
      <c r="X126" s="45">
        <f t="shared" si="136"/>
        <v>2.548495780519731</v>
      </c>
      <c r="Y126" s="45">
        <f t="shared" si="118"/>
        <v>67</v>
      </c>
      <c r="Z126" s="45"/>
      <c r="AA126" s="45">
        <f t="shared" ref="AA126:AA131" si="149">(B126*W126)+(0.2*V126)</f>
        <v>1.9655432963729342</v>
      </c>
      <c r="AB126" s="45">
        <f t="shared" ref="AB126:AB131" si="150">(C126*W126)+(0.2*V126)</f>
        <v>3.131448264666528</v>
      </c>
      <c r="AC126" s="45">
        <f t="shared" si="89"/>
        <v>2.52</v>
      </c>
      <c r="AD126" s="45">
        <f t="shared" si="89"/>
        <v>4.01</v>
      </c>
      <c r="AE126" s="45">
        <f t="shared" si="90"/>
        <v>45.48</v>
      </c>
      <c r="AF126" s="45">
        <f t="shared" si="91"/>
        <v>50.52</v>
      </c>
      <c r="AG126" s="45">
        <f t="shared" si="92"/>
        <v>81.99</v>
      </c>
      <c r="AH126" s="45">
        <f t="shared" si="93"/>
        <v>90.01</v>
      </c>
      <c r="AI126" s="46"/>
      <c r="AJ126" s="46">
        <f t="shared" si="94"/>
        <v>48</v>
      </c>
      <c r="AK126" s="46">
        <f t="shared" si="95"/>
        <v>86</v>
      </c>
      <c r="AL126" s="46">
        <f t="shared" si="96"/>
        <v>4.162774153580699</v>
      </c>
      <c r="AM126" s="46">
        <f t="shared" si="97"/>
        <v>64.964384649839261</v>
      </c>
      <c r="AN126" s="46">
        <f t="shared" si="98"/>
        <v>9.7179340864615114</v>
      </c>
      <c r="AO126" s="46">
        <f t="shared" si="99"/>
        <v>10.046545359084256</v>
      </c>
      <c r="AP126" s="46">
        <f t="shared" si="100"/>
        <v>4.1620220986551555</v>
      </c>
      <c r="AQ126" s="46">
        <f t="shared" si="101"/>
        <v>0.15373413810089823</v>
      </c>
      <c r="AR126" s="46">
        <f t="shared" si="102"/>
        <v>2.4997895148220373</v>
      </c>
      <c r="AS126" s="47">
        <f t="shared" si="103"/>
        <v>2.8618389460902227</v>
      </c>
      <c r="AT126" s="63">
        <f t="shared" si="104"/>
        <v>0.36204943126818545</v>
      </c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</row>
    <row r="127" spans="1:116" x14ac:dyDescent="0.2">
      <c r="A127" s="76" t="s">
        <v>169</v>
      </c>
      <c r="B127" s="86">
        <v>0.4</v>
      </c>
      <c r="C127" s="86">
        <v>3.9</v>
      </c>
      <c r="D127" s="83">
        <v>2.15</v>
      </c>
      <c r="E127" s="99" t="s">
        <v>23</v>
      </c>
      <c r="F127" s="11" t="s">
        <v>77</v>
      </c>
      <c r="G127" s="36">
        <f t="shared" si="145"/>
        <v>7.2782155582030645</v>
      </c>
      <c r="H127" s="36">
        <f t="shared" si="146"/>
        <v>17.394935184105325</v>
      </c>
      <c r="I127" s="37">
        <f t="shared" si="147"/>
        <v>34.094072960846439</v>
      </c>
      <c r="J127" s="62">
        <f t="shared" si="148"/>
        <v>9.4637042055822906E-2</v>
      </c>
      <c r="K127" s="129">
        <v>10</v>
      </c>
      <c r="L127" s="121">
        <v>15.5</v>
      </c>
      <c r="M127" s="121">
        <v>27</v>
      </c>
      <c r="N127" s="121">
        <v>15.5</v>
      </c>
      <c r="O127" s="121">
        <v>27</v>
      </c>
      <c r="P127" s="33">
        <v>3.56</v>
      </c>
      <c r="Q127" s="33">
        <v>4.24</v>
      </c>
      <c r="R127" s="45">
        <f t="shared" ref="R127:R131" si="151">(LN(C127)-LN(B127))/3.92</f>
        <v>0.58093553189024372</v>
      </c>
      <c r="S127" s="45">
        <f t="shared" si="131"/>
        <v>63.357723886151682</v>
      </c>
      <c r="T127" s="45">
        <f t="shared" si="132"/>
        <v>7.9440370018115907</v>
      </c>
      <c r="U127" s="45">
        <f t="shared" si="133"/>
        <v>1.2489995996796797</v>
      </c>
      <c r="V127" s="45">
        <f t="shared" ref="V127:V131" si="152">T127*U127*0.01</f>
        <v>9.9220990351032393E-2</v>
      </c>
      <c r="W127" s="45">
        <f t="shared" si="135"/>
        <v>6.3552296014492735E-2</v>
      </c>
      <c r="X127" s="45">
        <f t="shared" si="136"/>
        <v>0.15648163450136587</v>
      </c>
      <c r="Y127" s="45">
        <f t="shared" si="118"/>
        <v>2.15</v>
      </c>
      <c r="Z127" s="45"/>
      <c r="AA127" s="45">
        <f t="shared" si="149"/>
        <v>4.5265116476003578E-2</v>
      </c>
      <c r="AB127" s="45">
        <f t="shared" si="150"/>
        <v>0.26769815252672813</v>
      </c>
      <c r="AC127" s="45">
        <f t="shared" si="89"/>
        <v>0.06</v>
      </c>
      <c r="AD127" s="45">
        <f t="shared" si="89"/>
        <v>0.34</v>
      </c>
      <c r="AE127" s="45">
        <f t="shared" si="90"/>
        <v>0.34</v>
      </c>
      <c r="AF127" s="45">
        <f t="shared" si="91"/>
        <v>0.46</v>
      </c>
      <c r="AG127" s="45">
        <f t="shared" si="92"/>
        <v>3.56</v>
      </c>
      <c r="AH127" s="45">
        <f t="shared" si="93"/>
        <v>4.24</v>
      </c>
      <c r="AI127" s="46"/>
      <c r="AJ127" s="46">
        <f t="shared" si="94"/>
        <v>0.4</v>
      </c>
      <c r="AK127" s="46">
        <f t="shared" si="95"/>
        <v>3.9</v>
      </c>
      <c r="AL127" s="46">
        <f t="shared" si="96"/>
        <v>0.22234291063072281</v>
      </c>
      <c r="AM127" s="46">
        <f t="shared" si="97"/>
        <v>1.4785856023447808</v>
      </c>
      <c r="AN127" s="46">
        <f t="shared" si="98"/>
        <v>0.93679818335399889</v>
      </c>
      <c r="AO127" s="46">
        <f t="shared" si="99"/>
        <v>0.94977752040758023</v>
      </c>
      <c r="AP127" s="46">
        <f t="shared" si="100"/>
        <v>0.21836270298544697</v>
      </c>
      <c r="AQ127" s="46">
        <f t="shared" si="101"/>
        <v>0.58774697574989876</v>
      </c>
      <c r="AR127" s="46">
        <f t="shared" si="102"/>
        <v>2.4997895148220373</v>
      </c>
      <c r="AS127" s="47">
        <f t="shared" si="103"/>
        <v>2.5944265568778602</v>
      </c>
      <c r="AT127" s="63">
        <f t="shared" si="104"/>
        <v>9.4637042055822906E-2</v>
      </c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</row>
    <row r="128" spans="1:116" x14ac:dyDescent="0.2">
      <c r="A128" s="76" t="s">
        <v>170</v>
      </c>
      <c r="B128" s="86">
        <v>14</v>
      </c>
      <c r="C128" s="86">
        <v>38</v>
      </c>
      <c r="D128" s="83">
        <v>26</v>
      </c>
      <c r="E128" s="99" t="s">
        <v>23</v>
      </c>
      <c r="F128" s="11" t="s">
        <v>77</v>
      </c>
      <c r="G128" s="36">
        <f t="shared" si="145"/>
        <v>4.9494265144762943</v>
      </c>
      <c r="H128" s="36">
        <f t="shared" si="146"/>
        <v>11.829129369598345</v>
      </c>
      <c r="I128" s="37">
        <f t="shared" si="147"/>
        <v>23.185093564412757</v>
      </c>
      <c r="J128" s="62">
        <f t="shared" si="148"/>
        <v>0.20997949850354303</v>
      </c>
      <c r="K128" s="129">
        <v>7</v>
      </c>
      <c r="L128" s="121">
        <v>12</v>
      </c>
      <c r="M128" s="121">
        <v>20</v>
      </c>
      <c r="N128" s="121">
        <v>12</v>
      </c>
      <c r="O128" s="121">
        <v>20</v>
      </c>
      <c r="P128" s="33">
        <v>35.729999999999997</v>
      </c>
      <c r="Q128" s="33">
        <v>40.270000000000003</v>
      </c>
      <c r="R128" s="45">
        <f t="shared" si="151"/>
        <v>0.25472674237528758</v>
      </c>
      <c r="S128" s="45">
        <f t="shared" si="131"/>
        <v>25.891517771238881</v>
      </c>
      <c r="T128" s="45">
        <f t="shared" ref="T128:T131" si="153">(S128-0.25)^0.5</f>
        <v>5.0637454291501349</v>
      </c>
      <c r="U128" s="45">
        <f t="shared" ref="U128:U131" si="154">(B128*C128)^0.5</f>
        <v>23.065125189341593</v>
      </c>
      <c r="V128" s="45">
        <f t="shared" si="152"/>
        <v>1.1679592225030413</v>
      </c>
      <c r="W128" s="45">
        <f t="shared" ref="W128:W131" si="155">(V128-0.2*V128)/U128</f>
        <v>4.0509963433201082E-2</v>
      </c>
      <c r="X128" s="45">
        <f t="shared" si="136"/>
        <v>1.2868508937638363</v>
      </c>
      <c r="Y128" s="45">
        <f t="shared" si="118"/>
        <v>26</v>
      </c>
      <c r="Z128" s="45"/>
      <c r="AA128" s="45">
        <f t="shared" si="149"/>
        <v>0.8007313325654235</v>
      </c>
      <c r="AB128" s="45">
        <f t="shared" si="150"/>
        <v>1.7729704549622494</v>
      </c>
      <c r="AC128" s="45">
        <f t="shared" si="89"/>
        <v>1.02</v>
      </c>
      <c r="AD128" s="45">
        <f t="shared" si="89"/>
        <v>2.27</v>
      </c>
      <c r="AE128" s="45">
        <f t="shared" si="90"/>
        <v>12.98</v>
      </c>
      <c r="AF128" s="45">
        <f t="shared" si="91"/>
        <v>15.02</v>
      </c>
      <c r="AG128" s="45">
        <f t="shared" si="92"/>
        <v>35.729999999999997</v>
      </c>
      <c r="AH128" s="45">
        <f t="shared" si="93"/>
        <v>40.270000000000003</v>
      </c>
      <c r="AI128" s="46"/>
      <c r="AJ128" s="46">
        <f t="shared" si="94"/>
        <v>14</v>
      </c>
      <c r="AK128" s="46">
        <f t="shared" si="95"/>
        <v>38</v>
      </c>
      <c r="AL128" s="46">
        <f t="shared" si="96"/>
        <v>3.1383217446708223</v>
      </c>
      <c r="AM128" s="46">
        <f t="shared" si="97"/>
        <v>23.825694551070569</v>
      </c>
      <c r="AN128" s="46">
        <f t="shared" si="98"/>
        <v>6.1688339388115301</v>
      </c>
      <c r="AO128" s="46">
        <f t="shared" si="99"/>
        <v>6.3016265668011266</v>
      </c>
      <c r="AP128" s="46">
        <f t="shared" si="100"/>
        <v>3.1369566498260473</v>
      </c>
      <c r="AQ128" s="46">
        <f t="shared" si="101"/>
        <v>0.26003058083747699</v>
      </c>
      <c r="AR128" s="46">
        <f t="shared" si="102"/>
        <v>2.4997895148220484</v>
      </c>
      <c r="AS128" s="47">
        <f t="shared" si="103"/>
        <v>2.7097690133255914</v>
      </c>
      <c r="AT128" s="63">
        <f t="shared" si="104"/>
        <v>0.20997949850354303</v>
      </c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</row>
    <row r="129" spans="1:116" x14ac:dyDescent="0.2">
      <c r="A129" s="76" t="s">
        <v>171</v>
      </c>
      <c r="B129" s="86">
        <v>0.03</v>
      </c>
      <c r="C129" s="86">
        <v>0.38</v>
      </c>
      <c r="D129" s="83">
        <v>0.20500000000000002</v>
      </c>
      <c r="E129" s="99" t="s">
        <v>23</v>
      </c>
      <c r="F129" s="11" t="s">
        <v>77</v>
      </c>
      <c r="G129" s="36">
        <f t="shared" si="145"/>
        <v>7.6692035955003321</v>
      </c>
      <c r="H129" s="36">
        <f t="shared" si="146"/>
        <v>18.329396593245797</v>
      </c>
      <c r="I129" s="37">
        <f t="shared" si="147"/>
        <v>35.925617322761759</v>
      </c>
      <c r="J129" s="62">
        <f t="shared" si="148"/>
        <v>8.4801753050123274E-2</v>
      </c>
      <c r="K129" s="129">
        <v>9</v>
      </c>
      <c r="L129" s="121">
        <v>15.5</v>
      </c>
      <c r="M129" s="121">
        <v>33</v>
      </c>
      <c r="N129" s="121">
        <v>15.5</v>
      </c>
      <c r="O129" s="121">
        <v>33</v>
      </c>
      <c r="P129" s="33">
        <v>0.34</v>
      </c>
      <c r="Q129" s="33">
        <v>0.42</v>
      </c>
      <c r="R129" s="45">
        <f t="shared" si="151"/>
        <v>0.64769741608629494</v>
      </c>
      <c r="S129" s="45">
        <f t="shared" ref="S129:S131" si="156">100*(EXP(R129^2)-1)^0.5</f>
        <v>72.195493804440133</v>
      </c>
      <c r="T129" s="45">
        <f t="shared" si="153"/>
        <v>8.482068957774402</v>
      </c>
      <c r="U129" s="45">
        <f t="shared" si="154"/>
        <v>0.10677078252031312</v>
      </c>
      <c r="V129" s="45">
        <f t="shared" si="152"/>
        <v>9.0563714001282974E-3</v>
      </c>
      <c r="W129" s="45">
        <f t="shared" si="155"/>
        <v>6.7856551662195216E-2</v>
      </c>
      <c r="X129" s="45">
        <f t="shared" si="136"/>
        <v>1.5721867370775681E-2</v>
      </c>
      <c r="Y129" s="45">
        <f t="shared" si="118"/>
        <v>0.20500000000000002</v>
      </c>
      <c r="Z129" s="45"/>
      <c r="AA129" s="45">
        <f t="shared" si="149"/>
        <v>3.8469708298915161E-3</v>
      </c>
      <c r="AB129" s="45">
        <f t="shared" si="150"/>
        <v>2.7596763911659845E-2</v>
      </c>
      <c r="AC129" s="45">
        <f t="shared" si="89"/>
        <v>0</v>
      </c>
      <c r="AD129" s="45">
        <f t="shared" si="89"/>
        <v>0.04</v>
      </c>
      <c r="AE129" s="45">
        <f t="shared" si="90"/>
        <v>0.03</v>
      </c>
      <c r="AF129" s="45">
        <f t="shared" si="91"/>
        <v>0.03</v>
      </c>
      <c r="AG129" s="45">
        <f t="shared" si="92"/>
        <v>0.34</v>
      </c>
      <c r="AH129" s="45">
        <f t="shared" si="93"/>
        <v>0.42</v>
      </c>
      <c r="AI129" s="46"/>
      <c r="AJ129" s="46">
        <f t="shared" si="94"/>
        <v>0.03</v>
      </c>
      <c r="AK129" s="46">
        <f t="shared" si="95"/>
        <v>0.38</v>
      </c>
      <c r="AL129" s="46">
        <f t="shared" si="96"/>
        <v>-2.2370709617908435</v>
      </c>
      <c r="AM129" s="46">
        <f t="shared" si="97"/>
        <v>0.13168863212616469</v>
      </c>
      <c r="AN129" s="46">
        <f t="shared" si="98"/>
        <v>9.5073258247797193E-2</v>
      </c>
      <c r="AO129" s="46">
        <f t="shared" si="99"/>
        <v>9.6364420547609769E-2</v>
      </c>
      <c r="AP129" s="46">
        <f t="shared" si="100"/>
        <v>-2.2417339389349298</v>
      </c>
      <c r="AQ129" s="46">
        <f t="shared" si="101"/>
        <v>0.65485715777796594</v>
      </c>
      <c r="AR129" s="46">
        <f t="shared" si="102"/>
        <v>2.4997895148220484</v>
      </c>
      <c r="AS129" s="47">
        <f t="shared" si="103"/>
        <v>2.5845912678721716</v>
      </c>
      <c r="AT129" s="63">
        <f t="shared" si="104"/>
        <v>8.4801753050123274E-2</v>
      </c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</row>
    <row r="130" spans="1:116" x14ac:dyDescent="0.2">
      <c r="A130" s="76" t="s">
        <v>47</v>
      </c>
      <c r="B130" s="86">
        <v>1.2</v>
      </c>
      <c r="C130" s="86">
        <v>2.1</v>
      </c>
      <c r="D130" s="83">
        <v>1.65</v>
      </c>
      <c r="E130" s="99" t="s">
        <v>20</v>
      </c>
      <c r="F130" s="6"/>
      <c r="G130" s="36">
        <f t="shared" si="145"/>
        <v>3.7263897751184603</v>
      </c>
      <c r="H130" s="36">
        <f t="shared" si="146"/>
        <v>8.9060715625331213</v>
      </c>
      <c r="I130" s="37">
        <f t="shared" si="147"/>
        <v>17.455900262564917</v>
      </c>
      <c r="J130" s="62">
        <f t="shared" si="148"/>
        <v>0.37759717924337188</v>
      </c>
      <c r="K130" s="129">
        <v>7</v>
      </c>
      <c r="L130" s="121">
        <v>11.5</v>
      </c>
      <c r="M130" s="121">
        <v>20</v>
      </c>
      <c r="N130" s="121">
        <v>11.5</v>
      </c>
      <c r="O130" s="121">
        <v>20</v>
      </c>
      <c r="P130" s="33">
        <v>2</v>
      </c>
      <c r="Q130" s="33">
        <v>2.2000000000000002</v>
      </c>
      <c r="R130" s="45">
        <f t="shared" si="151"/>
        <v>0.14275912957536296</v>
      </c>
      <c r="S130" s="45">
        <f t="shared" si="156"/>
        <v>14.3489591128094</v>
      </c>
      <c r="T130" s="45">
        <f t="shared" si="153"/>
        <v>3.7548580682642854</v>
      </c>
      <c r="U130" s="45">
        <f t="shared" si="154"/>
        <v>1.5874507866387544</v>
      </c>
      <c r="V130" s="45">
        <f t="shared" si="152"/>
        <v>5.9606523941830136E-2</v>
      </c>
      <c r="W130" s="45">
        <f t="shared" si="155"/>
        <v>3.0038864546114284E-2</v>
      </c>
      <c r="X130" s="45">
        <f t="shared" si="136"/>
        <v>6.1485431289454592E-2</v>
      </c>
      <c r="Y130" s="45">
        <f t="shared" si="118"/>
        <v>1.65</v>
      </c>
      <c r="Z130" s="45"/>
      <c r="AA130" s="45">
        <f t="shared" si="149"/>
        <v>4.7967942243703168E-2</v>
      </c>
      <c r="AB130" s="45">
        <f t="shared" si="150"/>
        <v>7.500292033520603E-2</v>
      </c>
      <c r="AC130" s="45">
        <f t="shared" si="89"/>
        <v>0.06</v>
      </c>
      <c r="AD130" s="45">
        <f t="shared" si="89"/>
        <v>0.1</v>
      </c>
      <c r="AE130" s="45">
        <f t="shared" si="90"/>
        <v>1.1399999999999999</v>
      </c>
      <c r="AF130" s="45">
        <f t="shared" si="91"/>
        <v>1.26</v>
      </c>
      <c r="AG130" s="45">
        <f t="shared" si="92"/>
        <v>2</v>
      </c>
      <c r="AH130" s="45">
        <f t="shared" si="93"/>
        <v>2.2000000000000002</v>
      </c>
      <c r="AI130" s="46"/>
      <c r="AJ130" s="46">
        <f t="shared" si="94"/>
        <v>1.2</v>
      </c>
      <c r="AK130" s="46">
        <f t="shared" si="95"/>
        <v>2.1</v>
      </c>
      <c r="AL130" s="46">
        <f t="shared" si="96"/>
        <v>0.46212945076166595</v>
      </c>
      <c r="AM130" s="46">
        <f t="shared" si="97"/>
        <v>1.6037097437380965</v>
      </c>
      <c r="AN130" s="46">
        <f t="shared" si="98"/>
        <v>0.2301156554171199</v>
      </c>
      <c r="AO130" s="46">
        <f t="shared" si="99"/>
        <v>0.23818831442558408</v>
      </c>
      <c r="AP130" s="46">
        <f t="shared" si="100"/>
        <v>0.46140983716679773</v>
      </c>
      <c r="AQ130" s="46">
        <f t="shared" si="101"/>
        <v>0.14771390004617652</v>
      </c>
      <c r="AR130" s="46">
        <f t="shared" si="102"/>
        <v>2.4997895148220484</v>
      </c>
      <c r="AS130" s="47">
        <f t="shared" si="103"/>
        <v>2.8773866940654202</v>
      </c>
      <c r="AT130" s="63">
        <f t="shared" si="104"/>
        <v>0.37759717924337188</v>
      </c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</row>
    <row r="131" spans="1:116" x14ac:dyDescent="0.2">
      <c r="A131" s="76" t="s">
        <v>63</v>
      </c>
      <c r="B131" s="86">
        <v>200</v>
      </c>
      <c r="C131" s="86">
        <v>500</v>
      </c>
      <c r="D131" s="83">
        <v>350</v>
      </c>
      <c r="E131" s="99" t="s">
        <v>23</v>
      </c>
      <c r="F131" s="6"/>
      <c r="G131" s="36">
        <f t="shared" si="145"/>
        <v>4.7488356684793027</v>
      </c>
      <c r="H131" s="36">
        <f t="shared" si="146"/>
        <v>11.349717247665534</v>
      </c>
      <c r="I131" s="37">
        <f t="shared" si="147"/>
        <v>22.245445805424445</v>
      </c>
      <c r="J131" s="62">
        <f t="shared" si="148"/>
        <v>0.2288554451473912</v>
      </c>
      <c r="K131" s="129">
        <v>8</v>
      </c>
      <c r="L131" s="121">
        <v>13.5</v>
      </c>
      <c r="M131" s="121">
        <v>23</v>
      </c>
      <c r="N131" s="121">
        <v>13.5</v>
      </c>
      <c r="O131" s="121">
        <v>23</v>
      </c>
      <c r="P131" s="33">
        <v>471.29</v>
      </c>
      <c r="Q131" s="33">
        <v>528.71</v>
      </c>
      <c r="R131" s="45">
        <f t="shared" si="151"/>
        <v>0.23374763568218243</v>
      </c>
      <c r="S131" s="45">
        <f t="shared" si="156"/>
        <v>23.697715285232317</v>
      </c>
      <c r="T131" s="45">
        <f t="shared" si="153"/>
        <v>4.8422840979471991</v>
      </c>
      <c r="U131" s="45">
        <f t="shared" si="154"/>
        <v>316.22776601683796</v>
      </c>
      <c r="V131" s="45">
        <f t="shared" si="152"/>
        <v>15.312646827127022</v>
      </c>
      <c r="W131" s="45">
        <f t="shared" si="155"/>
        <v>3.8738272783577589E-2</v>
      </c>
      <c r="X131" s="45">
        <f t="shared" si="136"/>
        <v>16.62092483967756</v>
      </c>
      <c r="Y131" s="45">
        <f t="shared" si="118"/>
        <v>350</v>
      </c>
      <c r="Z131" s="45"/>
      <c r="AA131" s="45">
        <f t="shared" si="149"/>
        <v>10.810183922140922</v>
      </c>
      <c r="AB131" s="45">
        <f t="shared" si="150"/>
        <v>22.431665757214201</v>
      </c>
      <c r="AC131" s="45">
        <f t="shared" si="89"/>
        <v>13.84</v>
      </c>
      <c r="AD131" s="45">
        <f t="shared" si="89"/>
        <v>28.71</v>
      </c>
      <c r="AE131" s="45">
        <f t="shared" si="90"/>
        <v>186.16</v>
      </c>
      <c r="AF131" s="45">
        <f t="shared" si="91"/>
        <v>213.84</v>
      </c>
      <c r="AG131" s="45">
        <f t="shared" si="92"/>
        <v>471.29</v>
      </c>
      <c r="AH131" s="45">
        <f t="shared" si="93"/>
        <v>528.71</v>
      </c>
      <c r="AI131" s="46"/>
      <c r="AJ131" s="46">
        <f t="shared" si="94"/>
        <v>200</v>
      </c>
      <c r="AK131" s="46">
        <f t="shared" si="95"/>
        <v>500</v>
      </c>
      <c r="AL131" s="46">
        <f t="shared" si="96"/>
        <v>5.7564627324851134</v>
      </c>
      <c r="AM131" s="46">
        <f t="shared" si="97"/>
        <v>324.98587215046621</v>
      </c>
      <c r="AN131" s="46">
        <f t="shared" si="98"/>
        <v>77.014226699446581</v>
      </c>
      <c r="AO131" s="46">
        <f t="shared" si="99"/>
        <v>78.787348328522654</v>
      </c>
      <c r="AP131" s="46">
        <f t="shared" si="100"/>
        <v>5.7552259730836006</v>
      </c>
      <c r="AQ131" s="46">
        <f t="shared" si="101"/>
        <v>0.23898007446235955</v>
      </c>
      <c r="AR131" s="46">
        <f t="shared" si="102"/>
        <v>2.4997895148220262</v>
      </c>
      <c r="AS131" s="47">
        <f t="shared" si="103"/>
        <v>2.7286449599694174</v>
      </c>
      <c r="AT131" s="63">
        <f t="shared" si="104"/>
        <v>0.2288554451473912</v>
      </c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</row>
    <row r="132" spans="1:116" s="117" customFormat="1" x14ac:dyDescent="0.2">
      <c r="A132" s="109"/>
      <c r="B132" s="110"/>
      <c r="C132" s="110"/>
      <c r="D132" s="109"/>
      <c r="E132" s="110"/>
      <c r="F132" s="111"/>
      <c r="G132" s="112"/>
      <c r="H132" s="112"/>
      <c r="I132" s="113"/>
      <c r="J132" s="112"/>
      <c r="K132" s="120"/>
      <c r="L132" s="121"/>
      <c r="M132" s="121"/>
      <c r="N132" s="121"/>
      <c r="O132" s="121"/>
      <c r="P132" s="112"/>
      <c r="Q132" s="112"/>
      <c r="R132" s="114"/>
      <c r="S132" s="114"/>
      <c r="T132" s="114"/>
      <c r="U132" s="115"/>
      <c r="V132" s="115"/>
      <c r="W132" s="115"/>
      <c r="X132" s="115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5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4"/>
      <c r="BW132" s="114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</row>
    <row r="133" spans="1:116" s="117" customFormat="1" x14ac:dyDescent="0.2">
      <c r="A133" s="78"/>
      <c r="B133" s="110"/>
      <c r="C133" s="110"/>
      <c r="D133" s="109"/>
      <c r="E133" s="110"/>
      <c r="F133" s="111"/>
      <c r="G133" s="112"/>
      <c r="H133" s="112"/>
      <c r="I133" s="113"/>
      <c r="J133" s="112"/>
      <c r="K133" s="120"/>
      <c r="L133" s="121"/>
      <c r="M133" s="121"/>
      <c r="N133" s="121"/>
      <c r="O133" s="121"/>
      <c r="P133" s="112"/>
      <c r="Q133" s="112"/>
      <c r="R133" s="114"/>
      <c r="S133" s="114"/>
      <c r="T133" s="114"/>
      <c r="U133" s="115"/>
      <c r="V133" s="115"/>
      <c r="W133" s="115"/>
      <c r="X133" s="115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5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  <c r="BU133" s="114"/>
      <c r="BV133" s="114"/>
      <c r="BW133" s="114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4"/>
      <c r="CH133" s="114"/>
      <c r="CI133" s="114"/>
      <c r="CJ133" s="114"/>
      <c r="CK133" s="114"/>
      <c r="CL133" s="114"/>
      <c r="CM133" s="114"/>
      <c r="CN133" s="114"/>
      <c r="CO133" s="114"/>
      <c r="CP133" s="114"/>
      <c r="CQ133" s="114"/>
      <c r="CR133" s="114"/>
      <c r="CS133" s="114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</row>
    <row r="134" spans="1:116" ht="14.25" x14ac:dyDescent="0.2">
      <c r="A134" s="79" t="s">
        <v>244</v>
      </c>
      <c r="B134" s="79"/>
      <c r="C134" s="79"/>
      <c r="D134" s="79"/>
      <c r="F134" s="23"/>
      <c r="K134" s="120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7"/>
      <c r="AT134" s="63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</row>
    <row r="135" spans="1:116" ht="14.25" x14ac:dyDescent="0.2">
      <c r="A135" s="70" t="s">
        <v>245</v>
      </c>
      <c r="B135" s="79"/>
      <c r="E135" s="79"/>
      <c r="F135" s="6"/>
      <c r="K135" s="120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7"/>
      <c r="AT135" s="63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</row>
    <row r="136" spans="1:116" s="3" customFormat="1" ht="14.25" x14ac:dyDescent="0.2">
      <c r="A136" s="79" t="s">
        <v>246</v>
      </c>
      <c r="B136" s="79"/>
      <c r="C136" s="79"/>
      <c r="D136" s="79"/>
      <c r="E136" s="99"/>
      <c r="F136" s="11"/>
      <c r="G136" s="38"/>
      <c r="H136" s="39"/>
      <c r="I136" s="40"/>
      <c r="J136" s="39"/>
      <c r="K136" s="139"/>
      <c r="L136" s="140"/>
      <c r="M136" s="140"/>
      <c r="N136" s="140"/>
      <c r="O136" s="140"/>
      <c r="P136" s="39"/>
      <c r="Q136" s="39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8"/>
      <c r="AT136" s="67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</row>
    <row r="137" spans="1:116" ht="14.25" x14ac:dyDescent="0.2">
      <c r="A137" s="79" t="s">
        <v>247</v>
      </c>
      <c r="B137" s="93"/>
      <c r="D137" s="93"/>
      <c r="E137" s="108"/>
      <c r="F137" s="15"/>
      <c r="G137" s="32"/>
      <c r="I137" s="32"/>
      <c r="K137" s="141"/>
      <c r="L137" s="142"/>
      <c r="M137" s="142"/>
      <c r="N137" s="142"/>
      <c r="O137" s="142"/>
      <c r="P137" s="7"/>
      <c r="Q137" s="7"/>
      <c r="R137" s="45"/>
      <c r="S137" s="45"/>
      <c r="T137" s="45"/>
      <c r="U137" s="47"/>
      <c r="V137" s="47"/>
      <c r="W137" s="47"/>
      <c r="X137" s="47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7"/>
      <c r="AT137" s="63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</row>
    <row r="138" spans="1:116" ht="14.25" x14ac:dyDescent="0.2">
      <c r="A138" s="79" t="s">
        <v>248</v>
      </c>
      <c r="B138" s="79"/>
      <c r="D138" s="93"/>
      <c r="F138" s="15"/>
      <c r="G138" s="32"/>
      <c r="I138" s="32"/>
      <c r="K138" s="141"/>
      <c r="L138" s="142"/>
      <c r="M138" s="142"/>
      <c r="N138" s="142"/>
      <c r="O138" s="142"/>
      <c r="P138" s="7"/>
      <c r="Q138" s="7"/>
      <c r="R138" s="45"/>
      <c r="S138" s="45"/>
      <c r="T138" s="45"/>
      <c r="U138" s="47"/>
      <c r="V138" s="47"/>
      <c r="W138" s="47"/>
      <c r="X138" s="47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7"/>
      <c r="AT138" s="63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</row>
    <row r="139" spans="1:116" ht="14.25" x14ac:dyDescent="0.2">
      <c r="A139" s="79" t="s">
        <v>249</v>
      </c>
      <c r="B139" s="79"/>
      <c r="F139" s="6"/>
      <c r="K139" s="120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7"/>
      <c r="AT139" s="63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</row>
    <row r="140" spans="1:116" ht="14.25" x14ac:dyDescent="0.2">
      <c r="A140" s="79" t="s">
        <v>250</v>
      </c>
      <c r="B140" s="79"/>
      <c r="F140" s="6"/>
      <c r="K140" s="120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7"/>
      <c r="AT140" s="63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</row>
    <row r="141" spans="1:116" ht="14.25" x14ac:dyDescent="0.2">
      <c r="A141" s="80" t="s">
        <v>251</v>
      </c>
      <c r="B141" s="80"/>
      <c r="F141" s="6"/>
      <c r="K141" s="120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7"/>
      <c r="AT141" s="63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</row>
    <row r="142" spans="1:116" ht="14.25" x14ac:dyDescent="0.2">
      <c r="A142" s="79"/>
      <c r="F142" s="6"/>
      <c r="K142" s="120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7"/>
      <c r="AT142" s="63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</row>
    <row r="143" spans="1:116" ht="15.75" x14ac:dyDescent="0.25">
      <c r="A143" s="81"/>
      <c r="F143" s="6"/>
      <c r="K143" s="120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7"/>
      <c r="AT143" s="63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</row>
  </sheetData>
  <sortState xmlns:xlrd2="http://schemas.microsoft.com/office/spreadsheetml/2017/richdata2" ref="A6:DL108">
    <sortCondition ref="A6:A108"/>
  </sortState>
  <phoneticPr fontId="28" type="noConversion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Erklärung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 Haeckel</cp:lastModifiedBy>
  <cp:lastPrinted>2015-10-11T08:37:24Z</cp:lastPrinted>
  <dcterms:created xsi:type="dcterms:W3CDTF">2014-10-18T14:23:21Z</dcterms:created>
  <dcterms:modified xsi:type="dcterms:W3CDTF">2021-01-06T15:46:07Z</dcterms:modified>
</cp:coreProperties>
</file>